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45" windowWidth="20115" windowHeight="7995" activeTab="3"/>
  </bookViews>
  <sheets>
    <sheet name="GAMESA" sheetId="13" r:id="rId1"/>
    <sheet name="BIMBO" sheetId="14" r:id="rId2"/>
    <sheet name="Consumo GAMESA" sheetId="15" r:id="rId3"/>
    <sheet name="Consumo BIMBO" sheetId="16" r:id="rId4"/>
  </sheets>
  <externalReferences>
    <externalReference r:id="rId5"/>
  </externalReferences>
  <calcPr calcId="145621" iterate="1"/>
</workbook>
</file>

<file path=xl/calcChain.xml><?xml version="1.0" encoding="utf-8"?>
<calcChain xmlns="http://schemas.openxmlformats.org/spreadsheetml/2006/main">
  <c r="E44" i="16" l="1"/>
  <c r="C44" i="16"/>
  <c r="B44" i="16"/>
  <c r="E43" i="16"/>
  <c r="B43" i="16"/>
  <c r="C43" i="16" s="1"/>
  <c r="E42" i="16"/>
  <c r="B42" i="16"/>
  <c r="C42" i="16" s="1"/>
  <c r="E41" i="16"/>
  <c r="D41" i="16"/>
  <c r="F41" i="16" s="1"/>
  <c r="B41" i="16"/>
  <c r="C41" i="16" s="1"/>
  <c r="E40" i="16"/>
  <c r="D40" i="16"/>
  <c r="B40" i="16"/>
  <c r="C40" i="16" s="1"/>
  <c r="E39" i="16"/>
  <c r="B39" i="16"/>
  <c r="C39" i="16" s="1"/>
  <c r="E38" i="16"/>
  <c r="B38" i="16"/>
  <c r="C38" i="16" s="1"/>
  <c r="E37" i="16"/>
  <c r="B37" i="16"/>
  <c r="C37" i="16" s="1"/>
  <c r="E36" i="16"/>
  <c r="B36" i="16"/>
  <c r="C36" i="16" s="1"/>
  <c r="E35" i="16"/>
  <c r="B35" i="16"/>
  <c r="C35" i="16" s="1"/>
  <c r="E34" i="16"/>
  <c r="B34" i="16"/>
  <c r="C34" i="16" s="1"/>
  <c r="E33" i="16"/>
  <c r="D33" i="16"/>
  <c r="F33" i="16" s="1"/>
  <c r="B33" i="16"/>
  <c r="C33" i="16" s="1"/>
  <c r="E32" i="16"/>
  <c r="D32" i="16"/>
  <c r="B32" i="16"/>
  <c r="C32" i="16" s="1"/>
  <c r="E31" i="16"/>
  <c r="B31" i="16"/>
  <c r="C31" i="16" s="1"/>
  <c r="E30" i="16"/>
  <c r="C30" i="16"/>
  <c r="B30" i="16"/>
  <c r="E29" i="16"/>
  <c r="C29" i="16"/>
  <c r="B29" i="16"/>
  <c r="E28" i="16"/>
  <c r="C28" i="16"/>
  <c r="B28" i="16"/>
  <c r="E27" i="16"/>
  <c r="B27" i="16"/>
  <c r="C27" i="16" s="1"/>
  <c r="E26" i="16"/>
  <c r="B26" i="16"/>
  <c r="C26" i="16" s="1"/>
  <c r="E25" i="16"/>
  <c r="D25" i="16"/>
  <c r="F25" i="16" s="1"/>
  <c r="B25" i="16"/>
  <c r="C25" i="16" s="1"/>
  <c r="E24" i="16"/>
  <c r="D24" i="16"/>
  <c r="B24" i="16"/>
  <c r="C24" i="16" s="1"/>
  <c r="E23" i="16"/>
  <c r="B23" i="16"/>
  <c r="C23" i="16" s="1"/>
  <c r="E22" i="16"/>
  <c r="C22" i="16"/>
  <c r="B22" i="16"/>
  <c r="E21" i="16"/>
  <c r="C21" i="16"/>
  <c r="B21" i="16"/>
  <c r="E20" i="16"/>
  <c r="C20" i="16"/>
  <c r="B20" i="16"/>
  <c r="E19" i="16"/>
  <c r="B19" i="16"/>
  <c r="C19" i="16" s="1"/>
  <c r="E18" i="16"/>
  <c r="B18" i="16"/>
  <c r="C18" i="16" s="1"/>
  <c r="E17" i="16"/>
  <c r="B17" i="16"/>
  <c r="C17" i="16" s="1"/>
  <c r="E16" i="16"/>
  <c r="B16" i="16"/>
  <c r="C16" i="16" s="1"/>
  <c r="E15" i="16"/>
  <c r="B15" i="16"/>
  <c r="C15" i="16" s="1"/>
  <c r="E14" i="16"/>
  <c r="C14" i="16"/>
  <c r="B14" i="16"/>
  <c r="E44" i="15"/>
  <c r="D44" i="15"/>
  <c r="B44" i="15"/>
  <c r="C44" i="15" s="1"/>
  <c r="E43" i="15"/>
  <c r="D43" i="15"/>
  <c r="B43" i="15"/>
  <c r="C43" i="15" s="1"/>
  <c r="E42" i="15"/>
  <c r="D42" i="15"/>
  <c r="D42" i="16" s="1"/>
  <c r="F42" i="16" s="1"/>
  <c r="B42" i="15"/>
  <c r="C42" i="15" s="1"/>
  <c r="E41" i="15"/>
  <c r="D41" i="15"/>
  <c r="F41" i="15" s="1"/>
  <c r="B41" i="15"/>
  <c r="C41" i="15" s="1"/>
  <c r="E40" i="15"/>
  <c r="D40" i="15"/>
  <c r="F40" i="15" s="1"/>
  <c r="B40" i="15"/>
  <c r="C40" i="15" s="1"/>
  <c r="E39" i="15"/>
  <c r="D39" i="15"/>
  <c r="B39" i="15"/>
  <c r="C39" i="15" s="1"/>
  <c r="E38" i="15"/>
  <c r="D38" i="15"/>
  <c r="D38" i="16" s="1"/>
  <c r="F38" i="16" s="1"/>
  <c r="B38" i="15"/>
  <c r="C38" i="15" s="1"/>
  <c r="E37" i="15"/>
  <c r="D37" i="15"/>
  <c r="B37" i="15"/>
  <c r="C37" i="15" s="1"/>
  <c r="E36" i="15"/>
  <c r="D36" i="15"/>
  <c r="B36" i="15"/>
  <c r="C36" i="15" s="1"/>
  <c r="E35" i="15"/>
  <c r="D35" i="15"/>
  <c r="B35" i="15"/>
  <c r="C35" i="15" s="1"/>
  <c r="E34" i="15"/>
  <c r="D34" i="15"/>
  <c r="D34" i="16" s="1"/>
  <c r="F34" i="16" s="1"/>
  <c r="B34" i="15"/>
  <c r="C34" i="15" s="1"/>
  <c r="E33" i="15"/>
  <c r="F33" i="15" s="1"/>
  <c r="D33" i="15"/>
  <c r="B33" i="15"/>
  <c r="C33" i="15" s="1"/>
  <c r="E32" i="15"/>
  <c r="F32" i="15" s="1"/>
  <c r="D32" i="15"/>
  <c r="B32" i="15"/>
  <c r="C32" i="15" s="1"/>
  <c r="E31" i="15"/>
  <c r="D31" i="15"/>
  <c r="B31" i="15"/>
  <c r="C31" i="15" s="1"/>
  <c r="E30" i="15"/>
  <c r="D30" i="15"/>
  <c r="D30" i="16" s="1"/>
  <c r="B30" i="15"/>
  <c r="C30" i="15" s="1"/>
  <c r="F29" i="15"/>
  <c r="E29" i="15"/>
  <c r="D29" i="15"/>
  <c r="D29" i="16" s="1"/>
  <c r="F29" i="16" s="1"/>
  <c r="B29" i="15"/>
  <c r="C29" i="15" s="1"/>
  <c r="F28" i="15"/>
  <c r="E28" i="15"/>
  <c r="D28" i="15"/>
  <c r="D28" i="16" s="1"/>
  <c r="F28" i="16" s="1"/>
  <c r="B28" i="15"/>
  <c r="C28" i="15" s="1"/>
  <c r="E27" i="15"/>
  <c r="D27" i="15"/>
  <c r="B27" i="15"/>
  <c r="C27" i="15" s="1"/>
  <c r="E26" i="15"/>
  <c r="D26" i="15"/>
  <c r="D26" i="16" s="1"/>
  <c r="B26" i="15"/>
  <c r="C26" i="15" s="1"/>
  <c r="F25" i="15"/>
  <c r="E25" i="15"/>
  <c r="D25" i="15"/>
  <c r="B25" i="15"/>
  <c r="C25" i="15" s="1"/>
  <c r="F24" i="15"/>
  <c r="E24" i="15"/>
  <c r="D24" i="15"/>
  <c r="B24" i="15"/>
  <c r="C24" i="15" s="1"/>
  <c r="E23" i="15"/>
  <c r="D23" i="15"/>
  <c r="B23" i="15"/>
  <c r="C23" i="15" s="1"/>
  <c r="E22" i="15"/>
  <c r="D22" i="15"/>
  <c r="D22" i="16" s="1"/>
  <c r="F22" i="16" s="1"/>
  <c r="B22" i="15"/>
  <c r="C22" i="15" s="1"/>
  <c r="E21" i="15"/>
  <c r="D21" i="15"/>
  <c r="D21" i="16" s="1"/>
  <c r="F21" i="16" s="1"/>
  <c r="B21" i="15"/>
  <c r="C21" i="15" s="1"/>
  <c r="E20" i="15"/>
  <c r="D20" i="15"/>
  <c r="D20" i="16" s="1"/>
  <c r="C20" i="15"/>
  <c r="B20" i="15"/>
  <c r="E19" i="15"/>
  <c r="D19" i="15"/>
  <c r="C19" i="15"/>
  <c r="B19" i="15"/>
  <c r="E18" i="15"/>
  <c r="D18" i="15"/>
  <c r="D18" i="16" s="1"/>
  <c r="F18" i="16" s="1"/>
  <c r="C18" i="15"/>
  <c r="B18" i="15"/>
  <c r="E17" i="15"/>
  <c r="D17" i="15"/>
  <c r="B17" i="15"/>
  <c r="C17" i="15" s="1"/>
  <c r="E16" i="15"/>
  <c r="D16" i="15"/>
  <c r="B16" i="15"/>
  <c r="C16" i="15" s="1"/>
  <c r="E15" i="15"/>
  <c r="D15" i="15"/>
  <c r="B15" i="15"/>
  <c r="C15" i="15" s="1"/>
  <c r="E14" i="15"/>
  <c r="D14" i="15"/>
  <c r="D14" i="16" s="1"/>
  <c r="B14" i="15"/>
  <c r="C14" i="15" s="1"/>
  <c r="M45" i="14"/>
  <c r="L45" i="14"/>
  <c r="M38" i="14"/>
  <c r="L38" i="14"/>
  <c r="AG37" i="14"/>
  <c r="O37" i="14"/>
  <c r="M37" i="14"/>
  <c r="M44" i="14" s="1"/>
  <c r="L37" i="14"/>
  <c r="L44" i="14" s="1"/>
  <c r="AG36" i="14"/>
  <c r="O36" i="14"/>
  <c r="M36" i="14"/>
  <c r="L36" i="14"/>
  <c r="E36" i="14"/>
  <c r="AE34" i="14"/>
  <c r="AI34" i="14" s="1"/>
  <c r="AL33" i="14"/>
  <c r="AE33" i="14"/>
  <c r="AI33" i="14" s="1"/>
  <c r="V33" i="14"/>
  <c r="S33" i="14"/>
  <c r="R33" i="14"/>
  <c r="T33" i="14" s="1"/>
  <c r="P33" i="14"/>
  <c r="AL32" i="14"/>
  <c r="AE32" i="14"/>
  <c r="AI32" i="14" s="1"/>
  <c r="V32" i="14"/>
  <c r="S32" i="14"/>
  <c r="R32" i="14" s="1"/>
  <c r="T32" i="14" s="1"/>
  <c r="P32" i="14"/>
  <c r="AL31" i="14"/>
  <c r="AE31" i="14"/>
  <c r="AI31" i="14" s="1"/>
  <c r="V31" i="14"/>
  <c r="S31" i="14"/>
  <c r="P31" i="14"/>
  <c r="AL30" i="14"/>
  <c r="AJ30" i="14"/>
  <c r="AE30" i="14"/>
  <c r="AI30" i="14" s="1"/>
  <c r="Z30" i="14"/>
  <c r="V30" i="14"/>
  <c r="S30" i="14"/>
  <c r="R30" i="14"/>
  <c r="T30" i="14" s="1"/>
  <c r="P30" i="14"/>
  <c r="AL29" i="14"/>
  <c r="AE29" i="14"/>
  <c r="AI29" i="14" s="1"/>
  <c r="AJ29" i="14" s="1"/>
  <c r="V29" i="14"/>
  <c r="S29" i="14"/>
  <c r="P29" i="14"/>
  <c r="AL28" i="14"/>
  <c r="AJ28" i="14"/>
  <c r="AE28" i="14"/>
  <c r="AI28" i="14" s="1"/>
  <c r="V28" i="14"/>
  <c r="S28" i="14"/>
  <c r="R28" i="14" s="1"/>
  <c r="T28" i="14" s="1"/>
  <c r="P28" i="14"/>
  <c r="AL27" i="14"/>
  <c r="AE27" i="14"/>
  <c r="AI27" i="14" s="1"/>
  <c r="AM26" i="14" s="1"/>
  <c r="V27" i="14"/>
  <c r="S27" i="14"/>
  <c r="P27" i="14"/>
  <c r="AL26" i="14"/>
  <c r="AE26" i="14"/>
  <c r="AI26" i="14" s="1"/>
  <c r="AJ26" i="14" s="1"/>
  <c r="V26" i="14"/>
  <c r="S26" i="14"/>
  <c r="P26" i="14"/>
  <c r="AL25" i="14"/>
  <c r="AJ25" i="14"/>
  <c r="AE25" i="14"/>
  <c r="AI25" i="14" s="1"/>
  <c r="Z25" i="14"/>
  <c r="V25" i="14"/>
  <c r="S25" i="14"/>
  <c r="R25" i="14"/>
  <c r="T25" i="14" s="1"/>
  <c r="P25" i="14"/>
  <c r="AL24" i="14"/>
  <c r="AE24" i="14"/>
  <c r="AI24" i="14" s="1"/>
  <c r="AJ24" i="14" s="1"/>
  <c r="V24" i="14"/>
  <c r="S24" i="14"/>
  <c r="R24" i="14"/>
  <c r="T24" i="14" s="1"/>
  <c r="P24" i="14"/>
  <c r="AL23" i="14"/>
  <c r="AE23" i="14"/>
  <c r="AI23" i="14" s="1"/>
  <c r="AM22" i="14" s="1"/>
  <c r="Z23" i="14"/>
  <c r="V23" i="14"/>
  <c r="S23" i="14"/>
  <c r="R23" i="14"/>
  <c r="T23" i="14" s="1"/>
  <c r="P23" i="14"/>
  <c r="AL22" i="14"/>
  <c r="AJ22" i="14"/>
  <c r="AE22" i="14"/>
  <c r="AI22" i="14" s="1"/>
  <c r="V22" i="14"/>
  <c r="Z22" i="14" s="1"/>
  <c r="T22" i="14"/>
  <c r="S22" i="14"/>
  <c r="R22" i="14"/>
  <c r="P22" i="14"/>
  <c r="AL21" i="14"/>
  <c r="AE21" i="14"/>
  <c r="AI21" i="14" s="1"/>
  <c r="AJ21" i="14" s="1"/>
  <c r="V21" i="14"/>
  <c r="Z21" i="14" s="1"/>
  <c r="S21" i="14"/>
  <c r="R21" i="14"/>
  <c r="T21" i="14" s="1"/>
  <c r="P21" i="14"/>
  <c r="AL20" i="14"/>
  <c r="AE20" i="14"/>
  <c r="AI20" i="14" s="1"/>
  <c r="AJ20" i="14" s="1"/>
  <c r="V20" i="14"/>
  <c r="S20" i="14"/>
  <c r="R20" i="14"/>
  <c r="T20" i="14" s="1"/>
  <c r="P20" i="14"/>
  <c r="AL19" i="14"/>
  <c r="AE19" i="14"/>
  <c r="AI19" i="14" s="1"/>
  <c r="V19" i="14"/>
  <c r="S19" i="14"/>
  <c r="P19" i="14"/>
  <c r="AL18" i="14"/>
  <c r="AE18" i="14"/>
  <c r="AI18" i="14" s="1"/>
  <c r="AJ18" i="14" s="1"/>
  <c r="V18" i="14"/>
  <c r="S18" i="14"/>
  <c r="P18" i="14"/>
  <c r="AL17" i="14"/>
  <c r="AJ17" i="14"/>
  <c r="AE17" i="14"/>
  <c r="AI17" i="14" s="1"/>
  <c r="Z17" i="14"/>
  <c r="V17" i="14"/>
  <c r="T17" i="14"/>
  <c r="S17" i="14"/>
  <c r="R17" i="14"/>
  <c r="P17" i="14"/>
  <c r="AL16" i="14"/>
  <c r="AE16" i="14"/>
  <c r="AI16" i="14" s="1"/>
  <c r="AJ16" i="14" s="1"/>
  <c r="V16" i="14"/>
  <c r="T16" i="14"/>
  <c r="S16" i="14"/>
  <c r="R16" i="14"/>
  <c r="P16" i="14"/>
  <c r="AL15" i="14"/>
  <c r="AE15" i="14"/>
  <c r="AI15" i="14" s="1"/>
  <c r="Z15" i="14"/>
  <c r="V15" i="14"/>
  <c r="T15" i="14"/>
  <c r="S15" i="14"/>
  <c r="R15" i="14"/>
  <c r="P15" i="14"/>
  <c r="AL14" i="14"/>
  <c r="AJ14" i="14"/>
  <c r="AE14" i="14"/>
  <c r="AI14" i="14" s="1"/>
  <c r="Z14" i="14"/>
  <c r="V14" i="14"/>
  <c r="S14" i="14"/>
  <c r="R14" i="14"/>
  <c r="T14" i="14" s="1"/>
  <c r="P14" i="14"/>
  <c r="AL13" i="14"/>
  <c r="AE13" i="14"/>
  <c r="AI13" i="14" s="1"/>
  <c r="AJ13" i="14" s="1"/>
  <c r="V13" i="14"/>
  <c r="S13" i="14"/>
  <c r="P13" i="14"/>
  <c r="AL12" i="14"/>
  <c r="AJ12" i="14"/>
  <c r="AE12" i="14"/>
  <c r="AI12" i="14" s="1"/>
  <c r="V12" i="14"/>
  <c r="S12" i="14"/>
  <c r="R12" i="14" s="1"/>
  <c r="T12" i="14" s="1"/>
  <c r="P12" i="14"/>
  <c r="AL11" i="14"/>
  <c r="AE11" i="14"/>
  <c r="AI11" i="14" s="1"/>
  <c r="AM10" i="14" s="1"/>
  <c r="V11" i="14"/>
  <c r="S11" i="14"/>
  <c r="P11" i="14"/>
  <c r="AL10" i="14"/>
  <c r="AE10" i="14"/>
  <c r="AI10" i="14" s="1"/>
  <c r="AJ10" i="14" s="1"/>
  <c r="V10" i="14"/>
  <c r="S10" i="14"/>
  <c r="Z10" i="14" s="1"/>
  <c r="P10" i="14"/>
  <c r="AL9" i="14"/>
  <c r="AJ9" i="14"/>
  <c r="AE9" i="14"/>
  <c r="AI9" i="14" s="1"/>
  <c r="Z9" i="14"/>
  <c r="V9" i="14"/>
  <c r="S9" i="14"/>
  <c r="R9" i="14"/>
  <c r="T9" i="14" s="1"/>
  <c r="P9" i="14"/>
  <c r="AL8" i="14"/>
  <c r="AE8" i="14"/>
  <c r="AI8" i="14" s="1"/>
  <c r="AJ8" i="14" s="1"/>
  <c r="V8" i="14"/>
  <c r="S8" i="14"/>
  <c r="R8" i="14"/>
  <c r="T8" i="14" s="1"/>
  <c r="P8" i="14"/>
  <c r="AL7" i="14"/>
  <c r="AE7" i="14"/>
  <c r="AI7" i="14" s="1"/>
  <c r="AM6" i="14" s="1"/>
  <c r="Z7" i="14"/>
  <c r="V7" i="14"/>
  <c r="S7" i="14"/>
  <c r="R7" i="14"/>
  <c r="T7" i="14" s="1"/>
  <c r="P7" i="14"/>
  <c r="AL6" i="14"/>
  <c r="AJ6" i="14"/>
  <c r="AE6" i="14"/>
  <c r="AI6" i="14" s="1"/>
  <c r="V6" i="14"/>
  <c r="Z6" i="14" s="1"/>
  <c r="T6" i="14"/>
  <c r="S6" i="14"/>
  <c r="R6" i="14"/>
  <c r="P6" i="14"/>
  <c r="AL5" i="14"/>
  <c r="AE5" i="14"/>
  <c r="AI5" i="14" s="1"/>
  <c r="AJ5" i="14" s="1"/>
  <c r="V5" i="14"/>
  <c r="Z5" i="14" s="1"/>
  <c r="S5" i="14"/>
  <c r="R5" i="14"/>
  <c r="T5" i="14" s="1"/>
  <c r="P5" i="14"/>
  <c r="AL4" i="14"/>
  <c r="AE4" i="14"/>
  <c r="AI4" i="14" s="1"/>
  <c r="AJ4" i="14" s="1"/>
  <c r="V4" i="14"/>
  <c r="S4" i="14"/>
  <c r="R4" i="14"/>
  <c r="T4" i="14" s="1"/>
  <c r="P4" i="14"/>
  <c r="AL3" i="14"/>
  <c r="AE3" i="14"/>
  <c r="AI3" i="14" s="1"/>
  <c r="AJ3" i="14" s="1"/>
  <c r="V3" i="14"/>
  <c r="S3" i="14"/>
  <c r="P3" i="14"/>
  <c r="L44" i="13"/>
  <c r="M38" i="13"/>
  <c r="L38" i="13"/>
  <c r="AG37" i="13"/>
  <c r="M37" i="13"/>
  <c r="L37" i="13"/>
  <c r="L45" i="13" s="1"/>
  <c r="AG36" i="13"/>
  <c r="O36" i="13"/>
  <c r="O37" i="13" s="1"/>
  <c r="M36" i="13"/>
  <c r="L36" i="13"/>
  <c r="E36" i="13"/>
  <c r="AI34" i="13"/>
  <c r="AJ34" i="13" s="1"/>
  <c r="AE34" i="13"/>
  <c r="AL33" i="13"/>
  <c r="AE33" i="13"/>
  <c r="AI33" i="13" s="1"/>
  <c r="AJ33" i="13" s="1"/>
  <c r="W33" i="13"/>
  <c r="V33" i="13"/>
  <c r="S33" i="13"/>
  <c r="Z33" i="13" s="1"/>
  <c r="R33" i="13"/>
  <c r="T33" i="13" s="1"/>
  <c r="P33" i="13"/>
  <c r="AL32" i="13"/>
  <c r="AE32" i="13"/>
  <c r="AI32" i="13" s="1"/>
  <c r="AJ32" i="13" s="1"/>
  <c r="V32" i="13"/>
  <c r="S32" i="13"/>
  <c r="R32" i="13" s="1"/>
  <c r="T32" i="13" s="1"/>
  <c r="P32" i="13"/>
  <c r="AL31" i="13"/>
  <c r="AE31" i="13"/>
  <c r="AI31" i="13" s="1"/>
  <c r="AJ31" i="13" s="1"/>
  <c r="W31" i="13"/>
  <c r="V31" i="13"/>
  <c r="S31" i="13"/>
  <c r="R31" i="13" s="1"/>
  <c r="T31" i="13" s="1"/>
  <c r="P31" i="13"/>
  <c r="AM30" i="13"/>
  <c r="AL30" i="13"/>
  <c r="AE30" i="13"/>
  <c r="AI30" i="13" s="1"/>
  <c r="AJ30" i="13" s="1"/>
  <c r="W30" i="13"/>
  <c r="V30" i="13"/>
  <c r="S30" i="13"/>
  <c r="R30" i="13" s="1"/>
  <c r="T30" i="13" s="1"/>
  <c r="AA30" i="13" s="1"/>
  <c r="P30" i="13"/>
  <c r="AL29" i="13"/>
  <c r="AE29" i="13"/>
  <c r="AI29" i="13" s="1"/>
  <c r="AJ29" i="13" s="1"/>
  <c r="V29" i="13"/>
  <c r="W29" i="13" s="1"/>
  <c r="S29" i="13"/>
  <c r="R29" i="13"/>
  <c r="T29" i="13" s="1"/>
  <c r="P29" i="13"/>
  <c r="AL28" i="13"/>
  <c r="AE28" i="13"/>
  <c r="AI28" i="13" s="1"/>
  <c r="AJ28" i="13" s="1"/>
  <c r="V28" i="13"/>
  <c r="Y28" i="13" s="1"/>
  <c r="S28" i="13"/>
  <c r="R28" i="13"/>
  <c r="T28" i="13" s="1"/>
  <c r="P28" i="13"/>
  <c r="AM27" i="13"/>
  <c r="AN27" i="13" s="1"/>
  <c r="AO27" i="13" s="1"/>
  <c r="AL27" i="13"/>
  <c r="AE27" i="13"/>
  <c r="AI27" i="13" s="1"/>
  <c r="AJ27" i="13" s="1"/>
  <c r="V27" i="13"/>
  <c r="S27" i="13"/>
  <c r="R27" i="13"/>
  <c r="T27" i="13" s="1"/>
  <c r="P27" i="13"/>
  <c r="AM26" i="13"/>
  <c r="AN26" i="13" s="1"/>
  <c r="AO26" i="13" s="1"/>
  <c r="AL26" i="13"/>
  <c r="AE26" i="13"/>
  <c r="AI26" i="13" s="1"/>
  <c r="AJ26" i="13" s="1"/>
  <c r="V26" i="13"/>
  <c r="W26" i="13" s="1"/>
  <c r="S26" i="13"/>
  <c r="R26" i="13"/>
  <c r="T26" i="13" s="1"/>
  <c r="P26" i="13"/>
  <c r="AL25" i="13"/>
  <c r="AE25" i="13"/>
  <c r="AI25" i="13" s="1"/>
  <c r="AJ25" i="13" s="1"/>
  <c r="W25" i="13"/>
  <c r="V25" i="13"/>
  <c r="S25" i="13"/>
  <c r="P25" i="13"/>
  <c r="AL24" i="13"/>
  <c r="AE24" i="13"/>
  <c r="AI24" i="13" s="1"/>
  <c r="V24" i="13"/>
  <c r="S24" i="13"/>
  <c r="R24" i="13" s="1"/>
  <c r="T24" i="13" s="1"/>
  <c r="P24" i="13"/>
  <c r="AL23" i="13"/>
  <c r="AE23" i="13"/>
  <c r="AI23" i="13" s="1"/>
  <c r="AJ23" i="13" s="1"/>
  <c r="W23" i="13"/>
  <c r="AA23" i="13" s="1"/>
  <c r="V23" i="13"/>
  <c r="S23" i="13"/>
  <c r="R23" i="13" s="1"/>
  <c r="T23" i="13" s="1"/>
  <c r="P23" i="13"/>
  <c r="AL22" i="13"/>
  <c r="AE22" i="13"/>
  <c r="AI22" i="13" s="1"/>
  <c r="AJ22" i="13" s="1"/>
  <c r="W22" i="13"/>
  <c r="V22" i="13"/>
  <c r="S22" i="13"/>
  <c r="R22" i="13"/>
  <c r="T22" i="13" s="1"/>
  <c r="P22" i="13"/>
  <c r="AL21" i="13"/>
  <c r="AE21" i="13"/>
  <c r="AI21" i="13" s="1"/>
  <c r="AJ21" i="13" s="1"/>
  <c r="V21" i="13"/>
  <c r="W21" i="13" s="1"/>
  <c r="S21" i="13"/>
  <c r="R21" i="13"/>
  <c r="T21" i="13" s="1"/>
  <c r="AA21" i="13" s="1"/>
  <c r="P21" i="13"/>
  <c r="AL20" i="13"/>
  <c r="AE20" i="13"/>
  <c r="AI20" i="13" s="1"/>
  <c r="AJ20" i="13" s="1"/>
  <c r="V20" i="13"/>
  <c r="Y20" i="13" s="1"/>
  <c r="S20" i="13"/>
  <c r="R20" i="13"/>
  <c r="T20" i="13" s="1"/>
  <c r="P20" i="13"/>
  <c r="AM19" i="13"/>
  <c r="AN19" i="13" s="1"/>
  <c r="AO19" i="13" s="1"/>
  <c r="AL19" i="13"/>
  <c r="AE19" i="13"/>
  <c r="AI19" i="13" s="1"/>
  <c r="AJ19" i="13" s="1"/>
  <c r="V19" i="13"/>
  <c r="S19" i="13"/>
  <c r="R19" i="13" s="1"/>
  <c r="T19" i="13" s="1"/>
  <c r="P19" i="13"/>
  <c r="AL18" i="13"/>
  <c r="AE18" i="13"/>
  <c r="AI18" i="13" s="1"/>
  <c r="AJ18" i="13" s="1"/>
  <c r="V18" i="13"/>
  <c r="W18" i="13" s="1"/>
  <c r="S18" i="13"/>
  <c r="R18" i="13"/>
  <c r="T18" i="13" s="1"/>
  <c r="AA18" i="13" s="1"/>
  <c r="P18" i="13"/>
  <c r="AL17" i="13"/>
  <c r="AE17" i="13"/>
  <c r="AI17" i="13" s="1"/>
  <c r="AJ17" i="13" s="1"/>
  <c r="W17" i="13"/>
  <c r="V17" i="13"/>
  <c r="S17" i="13"/>
  <c r="Z17" i="13" s="1"/>
  <c r="P17" i="13"/>
  <c r="AL16" i="13"/>
  <c r="AE16" i="13"/>
  <c r="AI16" i="13" s="1"/>
  <c r="AJ16" i="13" s="1"/>
  <c r="V16" i="13"/>
  <c r="S16" i="13"/>
  <c r="R16" i="13" s="1"/>
  <c r="T16" i="13" s="1"/>
  <c r="P16" i="13"/>
  <c r="AM15" i="13"/>
  <c r="AN15" i="13" s="1"/>
  <c r="AO15" i="13" s="1"/>
  <c r="AL15" i="13"/>
  <c r="AE15" i="13"/>
  <c r="AI15" i="13" s="1"/>
  <c r="AJ15" i="13" s="1"/>
  <c r="W15" i="13"/>
  <c r="AA15" i="13" s="1"/>
  <c r="V15" i="13"/>
  <c r="Y15" i="13" s="1"/>
  <c r="S15" i="13"/>
  <c r="R15" i="13" s="1"/>
  <c r="T15" i="13" s="1"/>
  <c r="P15" i="13"/>
  <c r="AM14" i="13"/>
  <c r="AN14" i="13" s="1"/>
  <c r="AO14" i="13" s="1"/>
  <c r="AL14" i="13"/>
  <c r="AE14" i="13"/>
  <c r="AI14" i="13" s="1"/>
  <c r="AJ14" i="13" s="1"/>
  <c r="W14" i="13"/>
  <c r="V14" i="13"/>
  <c r="S14" i="13"/>
  <c r="R14" i="13" s="1"/>
  <c r="T14" i="13" s="1"/>
  <c r="P14" i="13"/>
  <c r="AL13" i="13"/>
  <c r="AE13" i="13"/>
  <c r="AI13" i="13" s="1"/>
  <c r="AJ13" i="13" s="1"/>
  <c r="V13" i="13"/>
  <c r="W13" i="13" s="1"/>
  <c r="S13" i="13"/>
  <c r="R13" i="13"/>
  <c r="T13" i="13" s="1"/>
  <c r="AA13" i="13" s="1"/>
  <c r="P13" i="13"/>
  <c r="AL12" i="13"/>
  <c r="AE12" i="13"/>
  <c r="AI12" i="13" s="1"/>
  <c r="AJ12" i="13" s="1"/>
  <c r="V12" i="13"/>
  <c r="Y12" i="13" s="1"/>
  <c r="S12" i="13"/>
  <c r="R12" i="13"/>
  <c r="T12" i="13" s="1"/>
  <c r="P12" i="13"/>
  <c r="AM11" i="13"/>
  <c r="AN11" i="13" s="1"/>
  <c r="AO11" i="13" s="1"/>
  <c r="AL11" i="13"/>
  <c r="AE11" i="13"/>
  <c r="AI11" i="13" s="1"/>
  <c r="AJ11" i="13" s="1"/>
  <c r="V11" i="13"/>
  <c r="S11" i="13"/>
  <c r="R11" i="13"/>
  <c r="T11" i="13" s="1"/>
  <c r="P11" i="13"/>
  <c r="AM10" i="13"/>
  <c r="AN10" i="13" s="1"/>
  <c r="AO10" i="13" s="1"/>
  <c r="AL10" i="13"/>
  <c r="AE10" i="13"/>
  <c r="AI10" i="13" s="1"/>
  <c r="AJ10" i="13" s="1"/>
  <c r="V10" i="13"/>
  <c r="W10" i="13" s="1"/>
  <c r="S10" i="13"/>
  <c r="R10" i="13"/>
  <c r="T10" i="13" s="1"/>
  <c r="P10" i="13"/>
  <c r="AL9" i="13"/>
  <c r="AE9" i="13"/>
  <c r="AI9" i="13" s="1"/>
  <c r="AJ9" i="13" s="1"/>
  <c r="W9" i="13"/>
  <c r="V9" i="13"/>
  <c r="S9" i="13"/>
  <c r="P9" i="13"/>
  <c r="AL8" i="13"/>
  <c r="AE8" i="13"/>
  <c r="AI8" i="13" s="1"/>
  <c r="V8" i="13"/>
  <c r="S8" i="13"/>
  <c r="R8" i="13"/>
  <c r="T8" i="13" s="1"/>
  <c r="P8" i="13"/>
  <c r="AL7" i="13"/>
  <c r="AE7" i="13"/>
  <c r="AI7" i="13" s="1"/>
  <c r="W7" i="13"/>
  <c r="V7" i="13"/>
  <c r="S7" i="13"/>
  <c r="R7" i="13" s="1"/>
  <c r="T7" i="13" s="1"/>
  <c r="P7" i="13"/>
  <c r="AL6" i="13"/>
  <c r="AE6" i="13"/>
  <c r="AI6" i="13" s="1"/>
  <c r="AJ6" i="13" s="1"/>
  <c r="W6" i="13"/>
  <c r="V6" i="13"/>
  <c r="S6" i="13"/>
  <c r="R6" i="13"/>
  <c r="T6" i="13" s="1"/>
  <c r="AA6" i="13" s="1"/>
  <c r="P6" i="13"/>
  <c r="AL5" i="13"/>
  <c r="AE5" i="13"/>
  <c r="AI5" i="13" s="1"/>
  <c r="AJ5" i="13" s="1"/>
  <c r="W5" i="13"/>
  <c r="V5" i="13"/>
  <c r="S5" i="13"/>
  <c r="R5" i="13"/>
  <c r="T5" i="13" s="1"/>
  <c r="P5" i="13"/>
  <c r="AL4" i="13"/>
  <c r="AE4" i="13"/>
  <c r="AI4" i="13" s="1"/>
  <c r="AJ4" i="13" s="1"/>
  <c r="V4" i="13"/>
  <c r="S4" i="13"/>
  <c r="R4" i="13" s="1"/>
  <c r="T4" i="13" s="1"/>
  <c r="P4" i="13"/>
  <c r="AL3" i="13"/>
  <c r="AE3" i="13"/>
  <c r="AI3" i="13" s="1"/>
  <c r="AJ3" i="13" s="1"/>
  <c r="V3" i="13"/>
  <c r="W3" i="13" s="1"/>
  <c r="S3" i="13"/>
  <c r="R3" i="13"/>
  <c r="P3" i="13"/>
  <c r="Y11" i="13" l="1"/>
  <c r="W11" i="13"/>
  <c r="AA11" i="13" s="1"/>
  <c r="Z25" i="13"/>
  <c r="R25" i="13"/>
  <c r="T25" i="13" s="1"/>
  <c r="AA25" i="13" s="1"/>
  <c r="M44" i="13"/>
  <c r="M45" i="13"/>
  <c r="Z13" i="14"/>
  <c r="R13" i="14"/>
  <c r="T13" i="14" s="1"/>
  <c r="AN26" i="14"/>
  <c r="AO26" i="14" s="1"/>
  <c r="Z9" i="13"/>
  <c r="R9" i="13"/>
  <c r="T9" i="13" s="1"/>
  <c r="AA9" i="13" s="1"/>
  <c r="S36" i="13"/>
  <c r="AM3" i="13"/>
  <c r="AN3" i="13" s="1"/>
  <c r="AO3" i="13" s="1"/>
  <c r="Y4" i="13"/>
  <c r="AA5" i="13"/>
  <c r="AJ8" i="13"/>
  <c r="AM7" i="13"/>
  <c r="AN7" i="13" s="1"/>
  <c r="AO7" i="13" s="1"/>
  <c r="Z13" i="13"/>
  <c r="Y16" i="13"/>
  <c r="R17" i="13"/>
  <c r="T17" i="13" s="1"/>
  <c r="AA17" i="13" s="1"/>
  <c r="AM18" i="13"/>
  <c r="AN18" i="13" s="1"/>
  <c r="AO18" i="13" s="1"/>
  <c r="Y19" i="13"/>
  <c r="W19" i="13"/>
  <c r="AA19" i="13" s="1"/>
  <c r="AJ24" i="13"/>
  <c r="AM23" i="13"/>
  <c r="AN23" i="13" s="1"/>
  <c r="AO23" i="13" s="1"/>
  <c r="Z11" i="14"/>
  <c r="R11" i="14"/>
  <c r="T11" i="14" s="1"/>
  <c r="Z26" i="14"/>
  <c r="Z29" i="14"/>
  <c r="R29" i="14"/>
  <c r="T29" i="14" s="1"/>
  <c r="F37" i="15"/>
  <c r="D37" i="16"/>
  <c r="F37" i="16" s="1"/>
  <c r="AA7" i="13"/>
  <c r="AA10" i="13"/>
  <c r="AA14" i="13"/>
  <c r="AA29" i="13"/>
  <c r="Z3" i="14"/>
  <c r="Z18" i="14"/>
  <c r="R18" i="14"/>
  <c r="T18" i="14" s="1"/>
  <c r="Z27" i="14"/>
  <c r="R27" i="14"/>
  <c r="T27" i="14" s="1"/>
  <c r="Z31" i="14"/>
  <c r="S36" i="14"/>
  <c r="D17" i="16"/>
  <c r="F17" i="16" s="1"/>
  <c r="F17" i="15"/>
  <c r="F20" i="16"/>
  <c r="F36" i="15"/>
  <c r="D36" i="16"/>
  <c r="F36" i="16" s="1"/>
  <c r="F44" i="15"/>
  <c r="D44" i="16"/>
  <c r="F44" i="16" s="1"/>
  <c r="AJ7" i="13"/>
  <c r="AJ36" i="13" s="1"/>
  <c r="AM6" i="13"/>
  <c r="AN6" i="13" s="1"/>
  <c r="AO6" i="13" s="1"/>
  <c r="Y27" i="13"/>
  <c r="W27" i="13"/>
  <c r="AA27" i="13" s="1"/>
  <c r="AN10" i="14"/>
  <c r="AO10" i="14" s="1"/>
  <c r="Z19" i="14"/>
  <c r="D16" i="16"/>
  <c r="F16" i="15"/>
  <c r="Z5" i="13"/>
  <c r="Y7" i="13"/>
  <c r="Y8" i="13"/>
  <c r="Z21" i="13"/>
  <c r="AM22" i="13"/>
  <c r="AN22" i="13" s="1"/>
  <c r="AO22" i="13" s="1"/>
  <c r="Y23" i="13"/>
  <c r="Y24" i="13"/>
  <c r="AM14" i="14"/>
  <c r="AN14" i="14" s="1"/>
  <c r="AO14" i="14" s="1"/>
  <c r="F20" i="15"/>
  <c r="F21" i="15"/>
  <c r="F30" i="16"/>
  <c r="E45" i="16"/>
  <c r="AA22" i="13"/>
  <c r="Z29" i="13"/>
  <c r="AN30" i="13"/>
  <c r="AO30" i="13" s="1"/>
  <c r="Y31" i="13"/>
  <c r="AM31" i="13"/>
  <c r="AN31" i="13" s="1"/>
  <c r="AO31" i="13" s="1"/>
  <c r="Y32" i="13"/>
  <c r="AA33" i="13"/>
  <c r="R3" i="14"/>
  <c r="AN6" i="14"/>
  <c r="AO6" i="14" s="1"/>
  <c r="R10" i="14"/>
  <c r="T10" i="14" s="1"/>
  <c r="R19" i="14"/>
  <c r="T19" i="14" s="1"/>
  <c r="AN22" i="14"/>
  <c r="AO22" i="14" s="1"/>
  <c r="R26" i="14"/>
  <c r="T26" i="14" s="1"/>
  <c r="R31" i="14"/>
  <c r="T31" i="14" s="1"/>
  <c r="AA26" i="13"/>
  <c r="AA31" i="13"/>
  <c r="AM18" i="14"/>
  <c r="AN18" i="14" s="1"/>
  <c r="AO18" i="14" s="1"/>
  <c r="F26" i="16"/>
  <c r="W4" i="14"/>
  <c r="AA4" i="14" s="1"/>
  <c r="Y4" i="14"/>
  <c r="W8" i="14"/>
  <c r="AA8" i="14" s="1"/>
  <c r="Y8" i="14"/>
  <c r="W12" i="14"/>
  <c r="AA12" i="14" s="1"/>
  <c r="Y12" i="14"/>
  <c r="W16" i="14"/>
  <c r="AA16" i="14" s="1"/>
  <c r="Y16" i="14"/>
  <c r="W20" i="14"/>
  <c r="AA20" i="14" s="1"/>
  <c r="Y20" i="14"/>
  <c r="W24" i="14"/>
  <c r="AA24" i="14" s="1"/>
  <c r="Y24" i="14"/>
  <c r="W28" i="14"/>
  <c r="AA28" i="14" s="1"/>
  <c r="Y28" i="14"/>
  <c r="AM30" i="14"/>
  <c r="AN30" i="14" s="1"/>
  <c r="AO30" i="14" s="1"/>
  <c r="AJ31" i="14"/>
  <c r="AM31" i="14"/>
  <c r="AN31" i="14" s="1"/>
  <c r="AO31" i="14" s="1"/>
  <c r="AJ32" i="14"/>
  <c r="AM32" i="14"/>
  <c r="AN32" i="14" s="1"/>
  <c r="AO32" i="14" s="1"/>
  <c r="AJ33" i="14"/>
  <c r="D23" i="16"/>
  <c r="F23" i="16" s="1"/>
  <c r="F23" i="15"/>
  <c r="D27" i="16"/>
  <c r="F27" i="16" s="1"/>
  <c r="F27" i="15"/>
  <c r="V36" i="13"/>
  <c r="Y3" i="13"/>
  <c r="W5" i="14"/>
  <c r="AA5" i="14" s="1"/>
  <c r="Y5" i="14"/>
  <c r="W9" i="14"/>
  <c r="AA9" i="14" s="1"/>
  <c r="Y9" i="14"/>
  <c r="W13" i="14"/>
  <c r="AA13" i="14" s="1"/>
  <c r="Y13" i="14"/>
  <c r="W17" i="14"/>
  <c r="AA17" i="14" s="1"/>
  <c r="Y17" i="14"/>
  <c r="W21" i="14"/>
  <c r="AA21" i="14" s="1"/>
  <c r="Y21" i="14"/>
  <c r="W25" i="14"/>
  <c r="AA25" i="14" s="1"/>
  <c r="Y25" i="14"/>
  <c r="W29" i="14"/>
  <c r="D19" i="16"/>
  <c r="F19" i="16" s="1"/>
  <c r="F19" i="15"/>
  <c r="W6" i="14"/>
  <c r="AA6" i="14" s="1"/>
  <c r="Y6" i="14"/>
  <c r="W10" i="14"/>
  <c r="AA10" i="14" s="1"/>
  <c r="W14" i="14"/>
  <c r="AA14" i="14" s="1"/>
  <c r="Y14" i="14"/>
  <c r="W18" i="14"/>
  <c r="AA18" i="14" s="1"/>
  <c r="W22" i="14"/>
  <c r="AA22" i="14" s="1"/>
  <c r="Y22" i="14"/>
  <c r="W26" i="14"/>
  <c r="AA26" i="14" s="1"/>
  <c r="W30" i="14"/>
  <c r="AA30" i="14" s="1"/>
  <c r="Y30" i="14"/>
  <c r="W32" i="14"/>
  <c r="AA32" i="14" s="1"/>
  <c r="Z32" i="14"/>
  <c r="Y32" i="14"/>
  <c r="W33" i="14"/>
  <c r="AA33" i="14" s="1"/>
  <c r="Z33" i="14"/>
  <c r="Y33" i="14"/>
  <c r="AM33" i="14"/>
  <c r="AN33" i="14" s="1"/>
  <c r="AO33" i="14" s="1"/>
  <c r="AJ34" i="14"/>
  <c r="F14" i="16"/>
  <c r="D15" i="16"/>
  <c r="F15" i="16" s="1"/>
  <c r="F15" i="15"/>
  <c r="D35" i="16"/>
  <c r="F35" i="16" s="1"/>
  <c r="F35" i="15"/>
  <c r="D39" i="16"/>
  <c r="F39" i="16" s="1"/>
  <c r="F39" i="15"/>
  <c r="D43" i="16"/>
  <c r="F43" i="16" s="1"/>
  <c r="F43" i="15"/>
  <c r="T3" i="13"/>
  <c r="W3" i="14"/>
  <c r="V36" i="14"/>
  <c r="Y3" i="14"/>
  <c r="W7" i="14"/>
  <c r="AA7" i="14" s="1"/>
  <c r="Y7" i="14"/>
  <c r="W11" i="14"/>
  <c r="AA11" i="14" s="1"/>
  <c r="Y11" i="14"/>
  <c r="W15" i="14"/>
  <c r="AA15" i="14" s="1"/>
  <c r="Y15" i="14"/>
  <c r="W19" i="14"/>
  <c r="AA19" i="14" s="1"/>
  <c r="W23" i="14"/>
  <c r="AA23" i="14" s="1"/>
  <c r="Y23" i="14"/>
  <c r="W27" i="14"/>
  <c r="AA27" i="14" s="1"/>
  <c r="Y27" i="14"/>
  <c r="W31" i="14"/>
  <c r="AA31" i="14" s="1"/>
  <c r="Y31" i="14"/>
  <c r="D31" i="16"/>
  <c r="F31" i="16" s="1"/>
  <c r="F31" i="15"/>
  <c r="Z4" i="13"/>
  <c r="Z8" i="13"/>
  <c r="Z12" i="13"/>
  <c r="Z16" i="13"/>
  <c r="Z20" i="13"/>
  <c r="Z24" i="13"/>
  <c r="Z28" i="13"/>
  <c r="Z32" i="13"/>
  <c r="AM3" i="14"/>
  <c r="AN3" i="14" s="1"/>
  <c r="AM7" i="14"/>
  <c r="AN7" i="14" s="1"/>
  <c r="AO7" i="14" s="1"/>
  <c r="AM11" i="14"/>
  <c r="AN11" i="14" s="1"/>
  <c r="AO11" i="14" s="1"/>
  <c r="AM15" i="14"/>
  <c r="AN15" i="14" s="1"/>
  <c r="AO15" i="14" s="1"/>
  <c r="AM19" i="14"/>
  <c r="AN19" i="14" s="1"/>
  <c r="AO19" i="14" s="1"/>
  <c r="AM23" i="14"/>
  <c r="AN23" i="14" s="1"/>
  <c r="AO23" i="14" s="1"/>
  <c r="AM27" i="14"/>
  <c r="AN27" i="14" s="1"/>
  <c r="AO27" i="14" s="1"/>
  <c r="E45" i="15"/>
  <c r="Z3" i="13"/>
  <c r="AM5" i="13"/>
  <c r="AN5" i="13" s="1"/>
  <c r="AO5" i="13" s="1"/>
  <c r="Y6" i="13"/>
  <c r="Z7" i="13"/>
  <c r="AM9" i="13"/>
  <c r="AN9" i="13" s="1"/>
  <c r="AO9" i="13" s="1"/>
  <c r="Y10" i="13"/>
  <c r="Z11" i="13"/>
  <c r="AM13" i="13"/>
  <c r="AN13" i="13" s="1"/>
  <c r="AO13" i="13" s="1"/>
  <c r="Y14" i="13"/>
  <c r="Z15" i="13"/>
  <c r="AM17" i="13"/>
  <c r="AN17" i="13" s="1"/>
  <c r="AO17" i="13" s="1"/>
  <c r="Y18" i="13"/>
  <c r="Z19" i="13"/>
  <c r="AM21" i="13"/>
  <c r="AN21" i="13" s="1"/>
  <c r="AO21" i="13" s="1"/>
  <c r="Y22" i="13"/>
  <c r="Z23" i="13"/>
  <c r="AM25" i="13"/>
  <c r="AN25" i="13" s="1"/>
  <c r="AO25" i="13" s="1"/>
  <c r="Y26" i="13"/>
  <c r="Z27" i="13"/>
  <c r="AM29" i="13"/>
  <c r="AN29" i="13" s="1"/>
  <c r="AO29" i="13" s="1"/>
  <c r="Y30" i="13"/>
  <c r="Z31" i="13"/>
  <c r="AM33" i="13"/>
  <c r="AN33" i="13" s="1"/>
  <c r="AO33" i="13" s="1"/>
  <c r="AM4" i="14"/>
  <c r="AN4" i="14" s="1"/>
  <c r="AO4" i="14" s="1"/>
  <c r="AM8" i="14"/>
  <c r="AN8" i="14" s="1"/>
  <c r="AO8" i="14" s="1"/>
  <c r="AM12" i="14"/>
  <c r="AN12" i="14" s="1"/>
  <c r="AO12" i="14" s="1"/>
  <c r="AM16" i="14"/>
  <c r="AN16" i="14" s="1"/>
  <c r="AO16" i="14" s="1"/>
  <c r="AM20" i="14"/>
  <c r="AN20" i="14" s="1"/>
  <c r="AO20" i="14" s="1"/>
  <c r="AM24" i="14"/>
  <c r="AN24" i="14" s="1"/>
  <c r="AO24" i="14" s="1"/>
  <c r="AM28" i="14"/>
  <c r="AN28" i="14" s="1"/>
  <c r="AO28" i="14" s="1"/>
  <c r="F16" i="16"/>
  <c r="F24" i="16"/>
  <c r="F32" i="16"/>
  <c r="F40" i="16"/>
  <c r="W4" i="13"/>
  <c r="AA4" i="13" s="1"/>
  <c r="AM4" i="13"/>
  <c r="AN4" i="13" s="1"/>
  <c r="AO4" i="13" s="1"/>
  <c r="Y5" i="13"/>
  <c r="Z6" i="13"/>
  <c r="W8" i="13"/>
  <c r="AA8" i="13" s="1"/>
  <c r="AM8" i="13"/>
  <c r="AN8" i="13" s="1"/>
  <c r="AO8" i="13" s="1"/>
  <c r="Z10" i="13"/>
  <c r="W12" i="13"/>
  <c r="AA12" i="13" s="1"/>
  <c r="AM12" i="13"/>
  <c r="AN12" i="13" s="1"/>
  <c r="AO12" i="13" s="1"/>
  <c r="Y13" i="13"/>
  <c r="Z14" i="13"/>
  <c r="W16" i="13"/>
  <c r="AA16" i="13" s="1"/>
  <c r="AM16" i="13"/>
  <c r="AN16" i="13" s="1"/>
  <c r="AO16" i="13" s="1"/>
  <c r="Y17" i="13"/>
  <c r="Z18" i="13"/>
  <c r="W20" i="13"/>
  <c r="AA20" i="13" s="1"/>
  <c r="AM20" i="13"/>
  <c r="AN20" i="13" s="1"/>
  <c r="AO20" i="13" s="1"/>
  <c r="Y21" i="13"/>
  <c r="Z22" i="13"/>
  <c r="W24" i="13"/>
  <c r="AA24" i="13" s="1"/>
  <c r="AM24" i="13"/>
  <c r="AN24" i="13" s="1"/>
  <c r="AO24" i="13" s="1"/>
  <c r="Y25" i="13"/>
  <c r="Z26" i="13"/>
  <c r="W28" i="13"/>
  <c r="AA28" i="13" s="1"/>
  <c r="AM28" i="13"/>
  <c r="AN28" i="13" s="1"/>
  <c r="AO28" i="13" s="1"/>
  <c r="Y29" i="13"/>
  <c r="Z30" i="13"/>
  <c r="W32" i="13"/>
  <c r="AA32" i="13" s="1"/>
  <c r="AM32" i="13"/>
  <c r="AN32" i="13" s="1"/>
  <c r="AO32" i="13" s="1"/>
  <c r="Y33" i="13"/>
  <c r="Z4" i="14"/>
  <c r="AM5" i="14"/>
  <c r="AN5" i="14" s="1"/>
  <c r="AO5" i="14" s="1"/>
  <c r="AJ7" i="14"/>
  <c r="Z8" i="14"/>
  <c r="AM9" i="14"/>
  <c r="AN9" i="14" s="1"/>
  <c r="AO9" i="14" s="1"/>
  <c r="AJ11" i="14"/>
  <c r="Z12" i="14"/>
  <c r="AM13" i="14"/>
  <c r="AN13" i="14" s="1"/>
  <c r="AO13" i="14" s="1"/>
  <c r="AJ15" i="14"/>
  <c r="Z16" i="14"/>
  <c r="AM17" i="14"/>
  <c r="AN17" i="14" s="1"/>
  <c r="AO17" i="14" s="1"/>
  <c r="AJ19" i="14"/>
  <c r="Z20" i="14"/>
  <c r="AM21" i="14"/>
  <c r="AN21" i="14" s="1"/>
  <c r="AO21" i="14" s="1"/>
  <c r="AJ23" i="14"/>
  <c r="Z24" i="14"/>
  <c r="AM25" i="14"/>
  <c r="AN25" i="14" s="1"/>
  <c r="AO25" i="14" s="1"/>
  <c r="AJ27" i="14"/>
  <c r="Z28" i="14"/>
  <c r="AM29" i="14"/>
  <c r="AN29" i="14" s="1"/>
  <c r="AO29" i="14" s="1"/>
  <c r="D45" i="15"/>
  <c r="F14" i="15"/>
  <c r="F18" i="15"/>
  <c r="F22" i="15"/>
  <c r="F26" i="15"/>
  <c r="F30" i="15"/>
  <c r="F34" i="15"/>
  <c r="F38" i="15"/>
  <c r="F42" i="15"/>
  <c r="AJ36" i="14" l="1"/>
  <c r="Y9" i="13"/>
  <c r="Y29" i="14"/>
  <c r="W36" i="13"/>
  <c r="T36" i="13"/>
  <c r="AA29" i="14"/>
  <c r="Z36" i="14"/>
  <c r="Y19" i="14"/>
  <c r="R36" i="13"/>
  <c r="Y26" i="14"/>
  <c r="Y18" i="14"/>
  <c r="Y10" i="14"/>
  <c r="Y36" i="14" s="1"/>
  <c r="R36" i="14"/>
  <c r="T3" i="14"/>
  <c r="T36" i="14" s="1"/>
  <c r="W36" i="14"/>
  <c r="AA3" i="14"/>
  <c r="AA36" i="14" s="1"/>
  <c r="AN36" i="14"/>
  <c r="AN37" i="14" s="1"/>
  <c r="AO3" i="14"/>
  <c r="AN36" i="13"/>
  <c r="AN37" i="13" s="1"/>
  <c r="F45" i="16"/>
  <c r="F45" i="15"/>
  <c r="Z36" i="13"/>
  <c r="D45" i="16"/>
  <c r="Y36" i="13"/>
  <c r="AA3" i="13"/>
  <c r="AA36" i="13" s="1"/>
</calcChain>
</file>

<file path=xl/sharedStrings.xml><?xml version="1.0" encoding="utf-8"?>
<sst xmlns="http://schemas.openxmlformats.org/spreadsheetml/2006/main" count="177" uniqueCount="80">
  <si>
    <t>Bullhorns</t>
  </si>
  <si>
    <t>No. Cliente</t>
  </si>
  <si>
    <t>Hora</t>
  </si>
  <si>
    <t>Año</t>
  </si>
  <si>
    <t>Mes</t>
  </si>
  <si>
    <t>Día</t>
  </si>
  <si>
    <t>Volumen Corregido
[ M3 ]</t>
  </si>
  <si>
    <t>Pulsos Corregidos</t>
  </si>
  <si>
    <t>Volumen No Corregido
[ M3 ]</t>
  </si>
  <si>
    <t>Pulsos No Corregidos</t>
  </si>
  <si>
    <t>Volumen No Corregido en Condición de Falla</t>
  </si>
  <si>
    <t>Pulsos No Corregidos en Condición de Falla</t>
  </si>
  <si>
    <t>Presion Promedio Ponderado
[ Psi ]</t>
  </si>
  <si>
    <t>Temperatura Promedio Ponderado
[ °C ]</t>
  </si>
  <si>
    <t>Caudal de Pico
[ m³/hora ]</t>
  </si>
  <si>
    <t>Volumen Diario
[ m3 ]</t>
  </si>
  <si>
    <t>día</t>
  </si>
  <si>
    <t>Poder Calorifico
[ Kcal/m3 ]</t>
  </si>
  <si>
    <t>Poder Calorifico
[ KJoul/m3 ]</t>
  </si>
  <si>
    <t>Poder Calorifico
[ BTU/CFT ]</t>
  </si>
  <si>
    <t>Volumen Consumido
[ m3 ]</t>
  </si>
  <si>
    <t>Volumen Consumido
[ cft3 ]</t>
  </si>
  <si>
    <t>Energía Consumida
[ Gcal ]</t>
  </si>
  <si>
    <t>Energía Consumida
[ GJoul ]</t>
  </si>
  <si>
    <t>Energía Consumida
[ MMBTU ]</t>
  </si>
  <si>
    <t>Clave</t>
  </si>
  <si>
    <t>Volumen Acumulado
 BullHorn</t>
  </si>
  <si>
    <t>Volumen Acumulado
 Micro Corrector</t>
  </si>
  <si>
    <t>Diferencia sincronización</t>
  </si>
  <si>
    <t>Volumen diario Bullhorn</t>
  </si>
  <si>
    <t>Volumen diario Micro</t>
  </si>
  <si>
    <t>Diferencia Medición</t>
  </si>
  <si>
    <t>% Error diario</t>
  </si>
  <si>
    <t>días</t>
  </si>
  <si>
    <t>Máximo</t>
  </si>
  <si>
    <t>m3</t>
  </si>
  <si>
    <t>Promedio</t>
  </si>
  <si>
    <t>Días transmitidos</t>
  </si>
  <si>
    <t>total</t>
  </si>
  <si>
    <t>cft</t>
  </si>
  <si>
    <t>Kcal/m3</t>
  </si>
  <si>
    <t xml:space="preserve">KJoul/m3 </t>
  </si>
  <si>
    <t>BTU/CFT</t>
  </si>
  <si>
    <t>Días NO transmitidos</t>
  </si>
  <si>
    <t>error mensual</t>
  </si>
  <si>
    <t>Mínimo</t>
  </si>
  <si>
    <t>cft3</t>
  </si>
  <si>
    <t>Gcal</t>
  </si>
  <si>
    <t>GJoul</t>
  </si>
  <si>
    <t xml:space="preserve">MMBTU </t>
  </si>
  <si>
    <t>Psi</t>
  </si>
  <si>
    <t xml:space="preserve"> °C</t>
  </si>
  <si>
    <t>Tolerancia sinconización</t>
  </si>
  <si>
    <t>Tolerancia Volumen diario</t>
  </si>
  <si>
    <t>Tolerancia</t>
  </si>
  <si>
    <t>max</t>
  </si>
  <si>
    <t>min</t>
  </si>
  <si>
    <t>Modificado:</t>
  </si>
  <si>
    <t>Emilio Pijoán</t>
  </si>
  <si>
    <t>Fecha:</t>
  </si>
  <si>
    <t>IGASAMEX BAJIO, S. DE R.L. DE C.V.</t>
  </si>
  <si>
    <t>BOSQUES DE ALISOS 47-A  5O PISO, COL. BOSQUES DE LAS LOMAS</t>
  </si>
  <si>
    <t>C.P. 05120, MEXICO, D.F.</t>
  </si>
  <si>
    <t xml:space="preserve">Energía Promedio Pemex </t>
  </si>
  <si>
    <t>(GJoul/m3)</t>
  </si>
  <si>
    <t xml:space="preserve"> (m3)</t>
  </si>
  <si>
    <t>Gjoul</t>
  </si>
  <si>
    <t>Total</t>
  </si>
  <si>
    <t>Programa de Mantenimiento:</t>
  </si>
  <si>
    <t>-Indicar los días calendario _________  __________  ________  _________  _________  __________</t>
  </si>
  <si>
    <t>-Indicar si retrasa o adelanta días prog. para mtto. de acuerdo a programa anual</t>
  </si>
  <si>
    <t>________________________________________________________________________________</t>
  </si>
  <si>
    <t xml:space="preserve">(1).- </t>
  </si>
  <si>
    <t>En caso de interrumpir su consumo deberá comunicarlo al Vendedor con 48 hrs. de anticipación</t>
  </si>
  <si>
    <t>Expresar La Nominación en Gicalorías</t>
  </si>
  <si>
    <t>CALCULO DE ENERGÍA CONSUMIDA EN INTERCONEXIÓN</t>
  </si>
  <si>
    <t>Estación  3001-02, GAMESA</t>
  </si>
  <si>
    <t>Gamesa Medido</t>
  </si>
  <si>
    <t>Estación  3001-03, BIMBO</t>
  </si>
  <si>
    <t>Bimbo Medido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</si>
</sst>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-* #,##0.00_-;\-* #,##0.00_-;_-* &quot;-&quot;??_-;_-@_-"/>
    <numFmt numFmtId="164" formatCode="#,##0.000"/>
    <numFmt numFmtId="165" formatCode="#,##0.0000"/>
    <numFmt numFmtId="166" formatCode="_(* #,##0.00_);_(* \(#,##0.00\);_(* &quot;-&quot;??_);_(@_)"/>
    <numFmt numFmtId="167" formatCode="_(* #,##0_);_(* \(#,##0\);_(* &quot;-&quot;??_);_(@_)"/>
    <numFmt numFmtId="168" formatCode="_-* #,##0_-;\-* #,##0_-;_-* &quot;-&quot;??_-;_-@_-"/>
    <numFmt numFmtId="170" formatCode="#,##0.000000"/>
    <numFmt numFmtId="172" formatCode="[$-80A]ddd"/>
    <numFmt numFmtId="175" formatCode="&quot;€&quot;#,##0;\-&quot;€&quot;#,##0"/>
  </numFmts>
  <fonts count="19" x14ac:knownFonts="1">
    <font>
      <sz val="10"/>
      <name val="Arial"/>
    </font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color indexed="11"/>
      <name val="Arial"/>
      <family val="2"/>
    </font>
    <font>
      <b/>
      <i/>
      <sz val="10"/>
      <name val="Arial"/>
      <family val="2"/>
    </font>
    <font>
      <sz val="10"/>
      <color indexed="9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u/>
      <sz val="9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b/>
      <sz val="10"/>
      <name val="Helvetica"/>
      <family val="2"/>
    </font>
    <font>
      <sz val="10"/>
      <name val="Helvetica"/>
      <family val="2"/>
    </font>
    <font>
      <sz val="10"/>
      <name val="Symbol"/>
      <family val="1"/>
      <charset val="2"/>
    </font>
    <font>
      <sz val="12"/>
      <name val="Helvetica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52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0"/>
      </left>
      <right style="thin">
        <color indexed="0"/>
      </right>
      <top style="medium">
        <color indexed="0"/>
      </top>
      <bottom/>
      <diagonal/>
    </border>
    <border>
      <left style="thin">
        <color indexed="0"/>
      </left>
      <right/>
      <top style="medium">
        <color indexed="0"/>
      </top>
      <bottom/>
      <diagonal/>
    </border>
    <border>
      <left style="thin">
        <color indexed="0"/>
      </left>
      <right style="medium">
        <color indexed="0"/>
      </right>
      <top style="medium">
        <color indexed="0"/>
      </top>
      <bottom/>
      <diagonal/>
    </border>
    <border>
      <left/>
      <right style="medium">
        <color indexed="0"/>
      </right>
      <top style="medium">
        <color indexed="0"/>
      </top>
      <bottom style="medium">
        <color indexed="0"/>
      </bottom>
      <diagonal/>
    </border>
    <border>
      <left style="medium">
        <color indexed="0"/>
      </left>
      <right style="thin">
        <color indexed="0"/>
      </right>
      <top style="medium">
        <color indexed="0"/>
      </top>
      <bottom style="medium">
        <color indexed="0"/>
      </bottom>
      <diagonal/>
    </border>
    <border>
      <left style="thin">
        <color indexed="0"/>
      </left>
      <right style="medium">
        <color indexed="0"/>
      </right>
      <top style="medium">
        <color indexed="0"/>
      </top>
      <bottom style="medium">
        <color indexed="0"/>
      </bottom>
      <diagonal/>
    </border>
    <border>
      <left/>
      <right style="medium">
        <color indexed="0"/>
      </right>
      <top style="medium">
        <color indexed="0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0"/>
      </right>
      <top style="medium">
        <color indexed="0"/>
      </top>
      <bottom style="thin">
        <color indexed="0"/>
      </bottom>
      <diagonal/>
    </border>
    <border>
      <left style="medium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medium">
        <color indexed="0"/>
      </right>
      <top/>
      <bottom style="thin">
        <color indexed="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medium">
        <color indexed="0"/>
      </right>
      <top style="thin">
        <color indexed="0"/>
      </top>
      <bottom style="thin">
        <color indexed="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0"/>
      </left>
      <right style="medium">
        <color indexed="0"/>
      </right>
      <top style="thin">
        <color indexed="0"/>
      </top>
      <bottom style="medium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0"/>
      </right>
      <top style="thin">
        <color indexed="0"/>
      </top>
      <bottom style="medium">
        <color indexed="0"/>
      </bottom>
      <diagonal/>
    </border>
    <border>
      <left style="medium">
        <color indexed="0"/>
      </left>
      <right/>
      <top/>
      <bottom style="medium">
        <color indexed="0"/>
      </bottom>
      <diagonal/>
    </border>
    <border>
      <left style="thin">
        <color indexed="0"/>
      </left>
      <right/>
      <top/>
      <bottom style="medium">
        <color indexed="0"/>
      </bottom>
      <diagonal/>
    </border>
    <border>
      <left style="medium">
        <color indexed="0"/>
      </left>
      <right style="medium">
        <color indexed="0"/>
      </right>
      <top style="thin">
        <color indexed="0"/>
      </top>
      <bottom style="medium">
        <color indexed="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0"/>
      </left>
      <right style="medium">
        <color indexed="0"/>
      </right>
      <top style="medium">
        <color indexed="0"/>
      </top>
      <bottom style="medium">
        <color indexed="0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75" fontId="2" fillId="0" borderId="0" applyFont="0" applyFill="0" applyBorder="0" applyAlignment="0" applyProtection="0"/>
  </cellStyleXfs>
  <cellXfs count="179">
    <xf numFmtId="0" fontId="0" fillId="0" borderId="0" xfId="0"/>
    <xf numFmtId="0" fontId="0" fillId="2" borderId="0" xfId="0" applyFill="1"/>
    <xf numFmtId="0" fontId="4" fillId="3" borderId="0" xfId="0" applyNumberFormat="1" applyFont="1" applyFill="1" applyBorder="1" applyAlignment="1" applyProtection="1"/>
    <xf numFmtId="0" fontId="0" fillId="3" borderId="0" xfId="0" applyNumberFormat="1" applyFont="1" applyFill="1" applyBorder="1" applyAlignment="1" applyProtection="1"/>
    <xf numFmtId="0" fontId="5" fillId="3" borderId="0" xfId="0" applyNumberFormat="1" applyFont="1" applyFill="1" applyBorder="1" applyAlignment="1" applyProtection="1"/>
    <xf numFmtId="0" fontId="0" fillId="3" borderId="0" xfId="0" applyFill="1"/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right"/>
    </xf>
    <xf numFmtId="164" fontId="3" fillId="0" borderId="7" xfId="0" applyNumberFormat="1" applyFont="1" applyFill="1" applyBorder="1" applyAlignment="1">
      <alignment horizontal="center" vertical="center" wrapText="1"/>
    </xf>
    <xf numFmtId="164" fontId="3" fillId="0" borderId="8" xfId="0" applyNumberFormat="1" applyFont="1" applyFill="1" applyBorder="1" applyAlignment="1">
      <alignment horizontal="center" vertical="center" wrapText="1"/>
    </xf>
    <xf numFmtId="164" fontId="3" fillId="4" borderId="9" xfId="0" applyNumberFormat="1" applyFont="1" applyFill="1" applyBorder="1" applyAlignment="1">
      <alignment horizontal="center" vertical="center" wrapText="1"/>
    </xf>
    <xf numFmtId="164" fontId="3" fillId="2" borderId="10" xfId="0" applyNumberFormat="1" applyFont="1" applyFill="1" applyBorder="1" applyAlignment="1">
      <alignment horizontal="center" vertical="center" wrapText="1"/>
    </xf>
    <xf numFmtId="164" fontId="3" fillId="0" borderId="3" xfId="0" applyNumberFormat="1" applyFont="1" applyFill="1" applyBorder="1" applyAlignment="1">
      <alignment horizontal="center" vertical="center" wrapText="1"/>
    </xf>
    <xf numFmtId="164" fontId="3" fillId="0" borderId="11" xfId="0" applyNumberFormat="1" applyFont="1" applyFill="1" applyBorder="1" applyAlignment="1">
      <alignment horizontal="center" vertical="center" wrapText="1"/>
    </xf>
    <xf numFmtId="164" fontId="3" fillId="4" borderId="6" xfId="0" applyNumberFormat="1" applyFont="1" applyFill="1" applyBorder="1" applyAlignment="1">
      <alignment horizontal="center" vertical="center" wrapText="1"/>
    </xf>
    <xf numFmtId="164" fontId="3" fillId="2" borderId="12" xfId="0" applyNumberFormat="1" applyFont="1" applyFill="1" applyBorder="1" applyAlignment="1" applyProtection="1">
      <alignment horizontal="center" vertical="center" wrapText="1"/>
    </xf>
    <xf numFmtId="164" fontId="3" fillId="2" borderId="13" xfId="0" applyNumberFormat="1" applyFont="1" applyFill="1" applyBorder="1" applyAlignment="1" applyProtection="1">
      <alignment horizontal="center" vertical="center" wrapText="1"/>
    </xf>
    <xf numFmtId="164" fontId="3" fillId="4" borderId="12" xfId="0" applyNumberFormat="1" applyFont="1" applyFill="1" applyBorder="1" applyAlignment="1" applyProtection="1">
      <alignment horizontal="center" vertical="center" wrapText="1"/>
    </xf>
    <xf numFmtId="164" fontId="3" fillId="4" borderId="14" xfId="0" applyNumberFormat="1" applyFont="1" applyFill="1" applyBorder="1" applyAlignment="1" applyProtection="1">
      <alignment horizontal="center" vertical="center" wrapText="1"/>
    </xf>
    <xf numFmtId="164" fontId="3" fillId="2" borderId="15" xfId="0" applyNumberFormat="1" applyFont="1" applyFill="1" applyBorder="1" applyAlignment="1" applyProtection="1">
      <alignment horizontal="center" vertical="center" wrapText="1"/>
    </xf>
    <xf numFmtId="164" fontId="3" fillId="4" borderId="16" xfId="0" applyNumberFormat="1" applyFont="1" applyFill="1" applyBorder="1" applyAlignment="1" applyProtection="1">
      <alignment horizontal="center" vertical="center" wrapText="1"/>
    </xf>
    <xf numFmtId="164" fontId="3" fillId="4" borderId="17" xfId="0" applyNumberFormat="1" applyFont="1" applyFill="1" applyBorder="1" applyAlignment="1" applyProtection="1">
      <alignment horizontal="center" vertical="center" wrapText="1"/>
    </xf>
    <xf numFmtId="164" fontId="3" fillId="2" borderId="18" xfId="0" applyNumberFormat="1" applyFont="1" applyFill="1" applyBorder="1" applyAlignment="1" applyProtection="1">
      <alignment horizontal="center" vertical="center" wrapText="1"/>
    </xf>
    <xf numFmtId="0" fontId="0" fillId="2" borderId="19" xfId="0" applyFill="1" applyBorder="1" applyAlignment="1">
      <alignment horizontal="center"/>
    </xf>
    <xf numFmtId="20" fontId="0" fillId="2" borderId="20" xfId="0" applyNumberFormat="1" applyFill="1" applyBorder="1" applyAlignment="1">
      <alignment horizontal="center"/>
    </xf>
    <xf numFmtId="0" fontId="0" fillId="2" borderId="20" xfId="0" applyFill="1" applyBorder="1" applyAlignment="1">
      <alignment horizontal="center"/>
    </xf>
    <xf numFmtId="0" fontId="0" fillId="2" borderId="21" xfId="0" applyFill="1" applyBorder="1" applyAlignment="1">
      <alignment horizontal="center"/>
    </xf>
    <xf numFmtId="166" fontId="6" fillId="2" borderId="0" xfId="0" applyNumberFormat="1" applyFont="1" applyFill="1"/>
    <xf numFmtId="0" fontId="0" fillId="2" borderId="19" xfId="0" applyNumberFormat="1" applyFont="1" applyFill="1" applyBorder="1" applyAlignment="1" applyProtection="1">
      <alignment horizontal="center"/>
    </xf>
    <xf numFmtId="0" fontId="0" fillId="2" borderId="27" xfId="0" applyNumberFormat="1" applyFont="1" applyFill="1" applyBorder="1" applyAlignment="1" applyProtection="1">
      <alignment horizontal="center"/>
    </xf>
    <xf numFmtId="167" fontId="2" fillId="4" borderId="28" xfId="0" applyNumberFormat="1" applyFont="1" applyFill="1" applyBorder="1" applyAlignment="1" applyProtection="1"/>
    <xf numFmtId="167" fontId="0" fillId="4" borderId="27" xfId="0" applyNumberFormat="1" applyFont="1" applyFill="1" applyBorder="1" applyAlignment="1" applyProtection="1"/>
    <xf numFmtId="167" fontId="2" fillId="2" borderId="29" xfId="0" applyNumberFormat="1" applyFont="1" applyFill="1" applyBorder="1" applyAlignment="1" applyProtection="1"/>
    <xf numFmtId="167" fontId="2" fillId="4" borderId="30" xfId="0" applyNumberFormat="1" applyFont="1" applyFill="1" applyBorder="1" applyAlignment="1" applyProtection="1"/>
    <xf numFmtId="168" fontId="0" fillId="4" borderId="31" xfId="0" applyNumberFormat="1" applyFont="1" applyFill="1" applyBorder="1" applyAlignment="1" applyProtection="1"/>
    <xf numFmtId="168" fontId="0" fillId="2" borderId="29" xfId="0" applyNumberFormat="1" applyFont="1" applyFill="1" applyBorder="1" applyAlignment="1" applyProtection="1"/>
    <xf numFmtId="10" fontId="0" fillId="2" borderId="29" xfId="0" applyNumberFormat="1" applyFont="1" applyFill="1" applyBorder="1" applyAlignment="1" applyProtection="1"/>
    <xf numFmtId="0" fontId="0" fillId="2" borderId="32" xfId="0" applyFill="1" applyBorder="1" applyAlignment="1">
      <alignment horizontal="center"/>
    </xf>
    <xf numFmtId="20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2" xfId="0" applyNumberFormat="1" applyFont="1" applyFill="1" applyBorder="1" applyAlignment="1" applyProtection="1">
      <alignment horizontal="center"/>
    </xf>
    <xf numFmtId="0" fontId="0" fillId="2" borderId="35" xfId="0" applyNumberFormat="1" applyFont="1" applyFill="1" applyBorder="1" applyAlignment="1" applyProtection="1">
      <alignment horizontal="center"/>
    </xf>
    <xf numFmtId="167" fontId="2" fillId="4" borderId="36" xfId="0" applyNumberFormat="1" applyFont="1" applyFill="1" applyBorder="1" applyAlignment="1" applyProtection="1"/>
    <xf numFmtId="167" fontId="0" fillId="4" borderId="35" xfId="0" applyNumberFormat="1" applyFont="1" applyFill="1" applyBorder="1" applyAlignment="1" applyProtection="1"/>
    <xf numFmtId="167" fontId="2" fillId="2" borderId="37" xfId="0" applyNumberFormat="1" applyFont="1" applyFill="1" applyBorder="1" applyAlignment="1" applyProtection="1"/>
    <xf numFmtId="168" fontId="0" fillId="4" borderId="38" xfId="0" applyNumberFormat="1" applyFont="1" applyFill="1" applyBorder="1" applyAlignment="1" applyProtection="1"/>
    <xf numFmtId="168" fontId="0" fillId="2" borderId="37" xfId="0" applyNumberFormat="1" applyFont="1" applyFill="1" applyBorder="1" applyAlignment="1" applyProtection="1"/>
    <xf numFmtId="10" fontId="0" fillId="2" borderId="37" xfId="0" applyNumberFormat="1" applyFont="1" applyFill="1" applyBorder="1" applyAlignment="1" applyProtection="1"/>
    <xf numFmtId="43" fontId="0" fillId="4" borderId="33" xfId="0" applyNumberFormat="1" applyFill="1" applyBorder="1"/>
    <xf numFmtId="43" fontId="0" fillId="2" borderId="34" xfId="0" applyNumberFormat="1" applyFill="1" applyBorder="1"/>
    <xf numFmtId="43" fontId="0" fillId="4" borderId="41" xfId="0" applyNumberFormat="1" applyFill="1" applyBorder="1"/>
    <xf numFmtId="43" fontId="0" fillId="2" borderId="42" xfId="0" applyNumberFormat="1" applyFill="1" applyBorder="1"/>
    <xf numFmtId="168" fontId="0" fillId="4" borderId="43" xfId="0" applyNumberFormat="1" applyFont="1" applyFill="1" applyBorder="1" applyAlignment="1" applyProtection="1"/>
    <xf numFmtId="0" fontId="0" fillId="2" borderId="39" xfId="0" applyFill="1" applyBorder="1" applyAlignment="1">
      <alignment horizontal="center"/>
    </xf>
    <xf numFmtId="20" fontId="0" fillId="2" borderId="44" xfId="0" applyNumberFormat="1" applyFill="1" applyBorder="1" applyAlignment="1">
      <alignment horizontal="center"/>
    </xf>
    <xf numFmtId="0" fontId="0" fillId="2" borderId="44" xfId="0" applyFill="1" applyBorder="1" applyAlignment="1">
      <alignment horizontal="center"/>
    </xf>
    <xf numFmtId="0" fontId="0" fillId="2" borderId="40" xfId="0" applyFill="1" applyBorder="1" applyAlignment="1">
      <alignment horizontal="center"/>
    </xf>
    <xf numFmtId="4" fontId="0" fillId="5" borderId="45" xfId="0" applyNumberFormat="1" applyFill="1" applyBorder="1"/>
    <xf numFmtId="43" fontId="0" fillId="5" borderId="47" xfId="0" applyNumberFormat="1" applyFill="1" applyBorder="1"/>
    <xf numFmtId="43" fontId="0" fillId="5" borderId="48" xfId="0" applyNumberFormat="1" applyFill="1" applyBorder="1"/>
    <xf numFmtId="0" fontId="0" fillId="2" borderId="39" xfId="0" applyNumberFormat="1" applyFont="1" applyFill="1" applyBorder="1" applyAlignment="1" applyProtection="1">
      <alignment horizontal="center"/>
    </xf>
    <xf numFmtId="0" fontId="0" fillId="2" borderId="49" xfId="0" applyNumberFormat="1" applyFont="1" applyFill="1" applyBorder="1" applyAlignment="1" applyProtection="1">
      <alignment horizontal="center"/>
    </xf>
    <xf numFmtId="167" fontId="2" fillId="4" borderId="50" xfId="0" applyNumberFormat="1" applyFont="1" applyFill="1" applyBorder="1" applyAlignment="1" applyProtection="1"/>
    <xf numFmtId="167" fontId="0" fillId="4" borderId="49" xfId="0" applyNumberFormat="1" applyFont="1" applyFill="1" applyBorder="1" applyAlignment="1" applyProtection="1"/>
    <xf numFmtId="167" fontId="2" fillId="2" borderId="51" xfId="0" applyNumberFormat="1" applyFont="1" applyFill="1" applyBorder="1" applyAlignment="1" applyProtection="1"/>
    <xf numFmtId="43" fontId="0" fillId="5" borderId="52" xfId="0" applyNumberFormat="1" applyFont="1" applyFill="1" applyBorder="1" applyAlignment="1" applyProtection="1"/>
    <xf numFmtId="43" fontId="0" fillId="5" borderId="53" xfId="0" applyNumberFormat="1" applyFont="1" applyFill="1" applyBorder="1" applyAlignment="1" applyProtection="1"/>
    <xf numFmtId="0" fontId="0" fillId="5" borderId="54" xfId="0" applyNumberFormat="1" applyFont="1" applyFill="1" applyBorder="1" applyAlignment="1" applyProtection="1"/>
    <xf numFmtId="0" fontId="5" fillId="2" borderId="0" xfId="0" applyFont="1" applyFill="1" applyAlignment="1">
      <alignment horizontal="right"/>
    </xf>
    <xf numFmtId="0" fontId="0" fillId="2" borderId="6" xfId="0" applyFill="1" applyBorder="1" applyAlignment="1">
      <alignment horizontal="center"/>
    </xf>
    <xf numFmtId="166" fontId="0" fillId="2" borderId="6" xfId="0" applyNumberFormat="1" applyFill="1" applyBorder="1"/>
    <xf numFmtId="166" fontId="0" fillId="4" borderId="6" xfId="0" applyNumberFormat="1" applyFill="1" applyBorder="1"/>
    <xf numFmtId="43" fontId="0" fillId="4" borderId="6" xfId="0" applyNumberFormat="1" applyFill="1" applyBorder="1"/>
    <xf numFmtId="43" fontId="0" fillId="2" borderId="55" xfId="0" applyNumberFormat="1" applyFill="1" applyBorder="1"/>
    <xf numFmtId="43" fontId="0" fillId="2" borderId="3" xfId="0" applyNumberFormat="1" applyFill="1" applyBorder="1"/>
    <xf numFmtId="43" fontId="0" fillId="2" borderId="56" xfId="0" applyNumberFormat="1" applyFill="1" applyBorder="1"/>
    <xf numFmtId="43" fontId="0" fillId="4" borderId="55" xfId="0" applyNumberFormat="1" applyFill="1" applyBorder="1"/>
    <xf numFmtId="0" fontId="3" fillId="3" borderId="0" xfId="0" applyNumberFormat="1" applyFont="1" applyFill="1" applyBorder="1" applyAlignment="1" applyProtection="1">
      <alignment horizontal="right"/>
    </xf>
    <xf numFmtId="0" fontId="0" fillId="2" borderId="57" xfId="0" applyNumberFormat="1" applyFont="1" applyFill="1" applyBorder="1" applyAlignment="1" applyProtection="1">
      <alignment horizontal="center"/>
    </xf>
    <xf numFmtId="167" fontId="0" fillId="2" borderId="57" xfId="0" applyNumberFormat="1" applyFont="1" applyFill="1" applyBorder="1" applyAlignment="1" applyProtection="1"/>
    <xf numFmtId="167" fontId="7" fillId="3" borderId="0" xfId="0" applyNumberFormat="1" applyFont="1" applyFill="1" applyBorder="1" applyAlignment="1" applyProtection="1"/>
    <xf numFmtId="167" fontId="0" fillId="3" borderId="0" xfId="0" applyNumberFormat="1" applyFont="1" applyFill="1" applyBorder="1" applyAlignment="1" applyProtection="1"/>
    <xf numFmtId="0" fontId="3" fillId="3" borderId="0" xfId="0" applyNumberFormat="1" applyFont="1" applyFill="1" applyBorder="1" applyAlignment="1" applyProtection="1"/>
    <xf numFmtId="0" fontId="0" fillId="2" borderId="58" xfId="0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3" fillId="6" borderId="6" xfId="0" applyFont="1" applyFill="1" applyBorder="1" applyAlignment="1">
      <alignment horizontal="center"/>
    </xf>
    <xf numFmtId="10" fontId="2" fillId="2" borderId="57" xfId="0" applyNumberFormat="1" applyFont="1" applyFill="1" applyBorder="1" applyAlignment="1" applyProtection="1"/>
    <xf numFmtId="0" fontId="0" fillId="2" borderId="0" xfId="0" applyFill="1" applyAlignment="1">
      <alignment horizontal="center"/>
    </xf>
    <xf numFmtId="0" fontId="2" fillId="2" borderId="0" xfId="0" applyFont="1" applyFill="1" applyAlignment="1">
      <alignment horizontal="center"/>
    </xf>
    <xf numFmtId="9" fontId="0" fillId="2" borderId="57" xfId="0" applyNumberFormat="1" applyFont="1" applyFill="1" applyBorder="1" applyAlignment="1" applyProtection="1">
      <alignment horizontal="center"/>
    </xf>
    <xf numFmtId="0" fontId="8" fillId="2" borderId="0" xfId="0" applyFont="1" applyFill="1"/>
    <xf numFmtId="9" fontId="8" fillId="2" borderId="0" xfId="0" applyNumberFormat="1" applyFont="1" applyFill="1"/>
    <xf numFmtId="0" fontId="8" fillId="2" borderId="0" xfId="0" applyFont="1" applyFill="1" applyAlignment="1">
      <alignment horizontal="right"/>
    </xf>
    <xf numFmtId="0" fontId="4" fillId="3" borderId="0" xfId="0" applyFont="1" applyFill="1"/>
    <xf numFmtId="0" fontId="2" fillId="2" borderId="0" xfId="0" applyFont="1" applyFill="1"/>
    <xf numFmtId="15" fontId="0" fillId="2" borderId="0" xfId="0" applyNumberFormat="1" applyFill="1"/>
    <xf numFmtId="170" fontId="9" fillId="0" borderId="0" xfId="0" applyNumberFormat="1" applyFont="1" applyFill="1" applyAlignment="1"/>
    <xf numFmtId="0" fontId="0" fillId="0" borderId="0" xfId="0" applyFill="1"/>
    <xf numFmtId="170" fontId="10" fillId="0" borderId="0" xfId="0" applyNumberFormat="1" applyFont="1" applyFill="1" applyAlignment="1"/>
    <xf numFmtId="170" fontId="11" fillId="0" borderId="0" xfId="0" applyNumberFormat="1" applyFont="1" applyFill="1" applyAlignment="1"/>
    <xf numFmtId="0" fontId="3" fillId="0" borderId="0" xfId="0" applyFont="1" applyFill="1" applyAlignment="1"/>
    <xf numFmtId="166" fontId="2" fillId="2" borderId="20" xfId="4" applyNumberFormat="1" applyFont="1" applyFill="1" applyBorder="1" applyAlignment="1">
      <alignment horizontal="center"/>
    </xf>
    <xf numFmtId="166" fontId="2" fillId="4" borderId="22" xfId="4" applyNumberFormat="1" applyFont="1" applyFill="1" applyBorder="1" applyAlignment="1">
      <alignment horizontal="center"/>
    </xf>
    <xf numFmtId="166" fontId="2" fillId="2" borderId="19" xfId="4" applyNumberFormat="1" applyFont="1" applyFill="1" applyBorder="1"/>
    <xf numFmtId="166" fontId="2" fillId="2" borderId="21" xfId="4" applyNumberFormat="1" applyFont="1" applyFill="1" applyBorder="1"/>
    <xf numFmtId="166" fontId="2" fillId="4" borderId="22" xfId="4" applyNumberFormat="1" applyFont="1" applyFill="1" applyBorder="1"/>
    <xf numFmtId="166" fontId="2" fillId="2" borderId="0" xfId="4" applyNumberFormat="1" applyFont="1" applyFill="1"/>
    <xf numFmtId="166" fontId="2" fillId="2" borderId="23" xfId="4" applyNumberFormat="1" applyFont="1" applyFill="1" applyBorder="1"/>
    <xf numFmtId="166" fontId="2" fillId="2" borderId="24" xfId="4" applyNumberFormat="1" applyFont="1" applyFill="1" applyBorder="1"/>
    <xf numFmtId="166" fontId="2" fillId="2" borderId="25" xfId="4" applyNumberFormat="1" applyFont="1" applyFill="1" applyBorder="1"/>
    <xf numFmtId="166" fontId="2" fillId="4" borderId="26" xfId="4" applyNumberFormat="1" applyFont="1" applyFill="1" applyBorder="1"/>
    <xf numFmtId="166" fontId="2" fillId="2" borderId="1" xfId="4" applyNumberFormat="1" applyFont="1" applyFill="1" applyBorder="1" applyAlignment="1">
      <alignment horizontal="center"/>
    </xf>
    <xf numFmtId="166" fontId="2" fillId="4" borderId="33" xfId="4" applyNumberFormat="1" applyFont="1" applyFill="1" applyBorder="1" applyAlignment="1">
      <alignment horizontal="center"/>
    </xf>
    <xf numFmtId="166" fontId="2" fillId="2" borderId="32" xfId="4" applyNumberFormat="1" applyFont="1" applyFill="1" applyBorder="1"/>
    <xf numFmtId="166" fontId="2" fillId="2" borderId="2" xfId="4" applyNumberFormat="1" applyFont="1" applyFill="1" applyBorder="1"/>
    <xf numFmtId="166" fontId="2" fillId="4" borderId="33" xfId="4" applyNumberFormat="1" applyFont="1" applyFill="1" applyBorder="1"/>
    <xf numFmtId="166" fontId="2" fillId="2" borderId="34" xfId="4" applyNumberFormat="1" applyFont="1" applyFill="1" applyBorder="1"/>
    <xf numFmtId="166" fontId="2" fillId="2" borderId="1" xfId="4" applyNumberFormat="1" applyFont="1" applyFill="1" applyBorder="1"/>
    <xf numFmtId="166" fontId="2" fillId="2" borderId="39" xfId="4" applyNumberFormat="1" applyFont="1" applyFill="1" applyBorder="1"/>
    <xf numFmtId="166" fontId="2" fillId="2" borderId="40" xfId="4" applyNumberFormat="1" applyFont="1" applyFill="1" applyBorder="1"/>
    <xf numFmtId="166" fontId="2" fillId="4" borderId="41" xfId="4" applyNumberFormat="1" applyFont="1" applyFill="1" applyBorder="1"/>
    <xf numFmtId="166" fontId="2" fillId="2" borderId="44" xfId="4" applyNumberFormat="1" applyFont="1" applyFill="1" applyBorder="1" applyAlignment="1">
      <alignment horizontal="center"/>
    </xf>
    <xf numFmtId="166" fontId="2" fillId="5" borderId="41" xfId="4" applyNumberFormat="1" applyFont="1" applyFill="1" applyBorder="1" applyAlignment="1">
      <alignment horizontal="center"/>
    </xf>
    <xf numFmtId="166" fontId="2" fillId="5" borderId="46" xfId="4" applyNumberFormat="1" applyFont="1" applyFill="1" applyBorder="1"/>
    <xf numFmtId="166" fontId="2" fillId="5" borderId="47" xfId="4" applyNumberFormat="1" applyFont="1" applyFill="1" applyBorder="1"/>
    <xf numFmtId="166" fontId="2" fillId="5" borderId="1" xfId="4" applyNumberFormat="1" applyFont="1" applyFill="1" applyBorder="1"/>
    <xf numFmtId="166" fontId="2" fillId="5" borderId="2" xfId="4" applyNumberFormat="1" applyFont="1" applyFill="1" applyBorder="1"/>
    <xf numFmtId="166" fontId="2" fillId="5" borderId="41" xfId="4" applyNumberFormat="1" applyFont="1" applyFill="1" applyBorder="1"/>
    <xf numFmtId="166" fontId="2" fillId="2" borderId="22" xfId="4" applyNumberFormat="1" applyFont="1" applyFill="1" applyBorder="1"/>
    <xf numFmtId="166" fontId="2" fillId="2" borderId="33" xfId="4" applyNumberFormat="1" applyFont="1" applyFill="1" applyBorder="1"/>
    <xf numFmtId="166" fontId="2" fillId="2" borderId="41" xfId="4" applyNumberFormat="1" applyFont="1" applyFill="1" applyBorder="1"/>
    <xf numFmtId="166" fontId="8" fillId="2" borderId="0" xfId="4" applyNumberFormat="1" applyFont="1" applyFill="1"/>
    <xf numFmtId="0" fontId="10" fillId="0" borderId="0" xfId="0" applyFont="1" applyFill="1" applyAlignment="1">
      <alignment horizontal="center"/>
    </xf>
    <xf numFmtId="170" fontId="10" fillId="0" borderId="0" xfId="0" applyNumberFormat="1" applyFont="1" applyFill="1" applyAlignment="1">
      <alignment horizontal="center"/>
    </xf>
    <xf numFmtId="10" fontId="10" fillId="0" borderId="0" xfId="5" applyNumberFormat="1" applyFont="1" applyFill="1" applyAlignment="1"/>
    <xf numFmtId="0" fontId="10" fillId="0" borderId="0" xfId="0" applyFont="1" applyFill="1" applyAlignment="1"/>
    <xf numFmtId="0" fontId="1" fillId="0" borderId="0" xfId="6"/>
    <xf numFmtId="0" fontId="18" fillId="0" borderId="0" xfId="6" applyFont="1"/>
    <xf numFmtId="164" fontId="1" fillId="0" borderId="0" xfId="6" applyNumberFormat="1"/>
    <xf numFmtId="164" fontId="1" fillId="0" borderId="1" xfId="6" applyNumberFormat="1" applyBorder="1" applyAlignment="1">
      <alignment horizontal="justify"/>
    </xf>
    <xf numFmtId="164" fontId="2" fillId="0" borderId="1" xfId="6" applyNumberFormat="1" applyFont="1" applyBorder="1" applyAlignment="1">
      <alignment horizontal="center"/>
    </xf>
    <xf numFmtId="0" fontId="13" fillId="0" borderId="1" xfId="6" applyFont="1" applyBorder="1" applyAlignment="1">
      <alignment horizontal="center"/>
    </xf>
    <xf numFmtId="0" fontId="2" fillId="0" borderId="1" xfId="6" applyFont="1" applyBorder="1" applyAlignment="1">
      <alignment horizontal="center"/>
    </xf>
    <xf numFmtId="0" fontId="1" fillId="0" borderId="0" xfId="6" applyFont="1"/>
    <xf numFmtId="16" fontId="13" fillId="0" borderId="1" xfId="6" applyNumberFormat="1" applyFont="1" applyBorder="1"/>
    <xf numFmtId="172" fontId="13" fillId="0" borderId="1" xfId="6" applyNumberFormat="1" applyFont="1" applyBorder="1"/>
    <xf numFmtId="165" fontId="13" fillId="0" borderId="1" xfId="6" applyNumberFormat="1" applyFont="1" applyBorder="1"/>
    <xf numFmtId="164" fontId="1" fillId="0" borderId="1" xfId="6" applyNumberFormat="1" applyBorder="1"/>
    <xf numFmtId="10" fontId="1" fillId="0" borderId="0" xfId="6" applyNumberFormat="1"/>
    <xf numFmtId="164" fontId="13" fillId="0" borderId="2" xfId="6" applyNumberFormat="1" applyFont="1" applyBorder="1"/>
    <xf numFmtId="0" fontId="1" fillId="0" borderId="62" xfId="6" applyBorder="1"/>
    <xf numFmtId="165" fontId="1" fillId="0" borderId="36" xfId="6" applyNumberFormat="1" applyBorder="1"/>
    <xf numFmtId="164" fontId="14" fillId="0" borderId="1" xfId="6" applyNumberFormat="1" applyFont="1" applyBorder="1"/>
    <xf numFmtId="0" fontId="15" fillId="0" borderId="0" xfId="6" applyFont="1"/>
    <xf numFmtId="0" fontId="1" fillId="0" borderId="0" xfId="6" applyBorder="1"/>
    <xf numFmtId="164" fontId="1" fillId="0" borderId="0" xfId="6" applyNumberFormat="1" applyBorder="1"/>
    <xf numFmtId="0" fontId="16" fillId="0" borderId="0" xfId="6" applyFont="1"/>
    <xf numFmtId="164" fontId="16" fillId="0" borderId="0" xfId="6" applyNumberFormat="1" applyFont="1"/>
    <xf numFmtId="0" fontId="17" fillId="0" borderId="0" xfId="6" applyFont="1"/>
    <xf numFmtId="0" fontId="1" fillId="0" borderId="0" xfId="6" applyFill="1"/>
    <xf numFmtId="164" fontId="13" fillId="0" borderId="1" xfId="6" applyNumberFormat="1" applyFont="1" applyBorder="1"/>
    <xf numFmtId="165" fontId="12" fillId="0" borderId="1" xfId="6" applyNumberFormat="1" applyFont="1" applyBorder="1"/>
    <xf numFmtId="0" fontId="1" fillId="0" borderId="61" xfId="6" applyBorder="1"/>
    <xf numFmtId="0" fontId="1" fillId="0" borderId="36" xfId="6" applyBorder="1"/>
    <xf numFmtId="170" fontId="9" fillId="0" borderId="0" xfId="0" applyNumberFormat="1" applyFont="1" applyFill="1" applyAlignment="1">
      <alignment horizontal="center"/>
    </xf>
    <xf numFmtId="170" fontId="10" fillId="0" borderId="0" xfId="0" applyNumberFormat="1" applyFont="1" applyFill="1" applyAlignment="1">
      <alignment horizontal="center"/>
    </xf>
    <xf numFmtId="170" fontId="11" fillId="0" borderId="0" xfId="0" applyNumberFormat="1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12" fillId="0" borderId="59" xfId="6" applyFont="1" applyBorder="1" applyAlignment="1">
      <alignment horizontal="center" vertical="center"/>
    </xf>
    <xf numFmtId="0" fontId="12" fillId="0" borderId="60" xfId="6" applyFont="1" applyBorder="1" applyAlignment="1">
      <alignment horizontal="center" vertical="center"/>
    </xf>
    <xf numFmtId="0" fontId="12" fillId="0" borderId="25" xfId="6" applyFont="1" applyBorder="1" applyAlignment="1">
      <alignment horizontal="center" vertical="center"/>
    </xf>
    <xf numFmtId="0" fontId="12" fillId="0" borderId="61" xfId="6" applyFont="1" applyBorder="1" applyAlignment="1">
      <alignment horizontal="center" vertical="center"/>
    </xf>
    <xf numFmtId="0" fontId="12" fillId="0" borderId="2" xfId="6" applyFont="1" applyBorder="1" applyAlignment="1">
      <alignment horizontal="center"/>
    </xf>
    <xf numFmtId="0" fontId="12" fillId="0" borderId="36" xfId="6" applyFont="1" applyBorder="1" applyAlignment="1">
      <alignment horizontal="center"/>
    </xf>
  </cellXfs>
  <cellStyles count="8">
    <cellStyle name="Millares 2" xfId="4"/>
    <cellStyle name="Millares 3" xfId="2"/>
    <cellStyle name="Moneda 2" xfId="7"/>
    <cellStyle name="Normal" xfId="0" builtinId="0"/>
    <cellStyle name="Normal_FACT CEMEX  NOVIEMBRE 2003 2" xfId="6"/>
    <cellStyle name="Porcentual 2" xfId="5"/>
    <cellStyle name="Porcentual 3" xfId="1"/>
    <cellStyle name="Porcentual 3 2" xfId="3"/>
  </cellStyles>
  <dxfs count="96"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390525</xdr:colOff>
      <xdr:row>39</xdr:row>
      <xdr:rowOff>133350</xdr:rowOff>
    </xdr:from>
    <xdr:to>
      <xdr:col>1</xdr:col>
      <xdr:colOff>323850</xdr:colOff>
      <xdr:row>44</xdr:row>
      <xdr:rowOff>95250</xdr:rowOff>
    </xdr:to>
    <xdr:pic>
      <xdr:nvPicPr>
        <xdr:cNvPr id="2" name="1 Imagen" descr="igasamex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0525" y="7019925"/>
          <a:ext cx="819150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390525</xdr:colOff>
      <xdr:row>39</xdr:row>
      <xdr:rowOff>133350</xdr:rowOff>
    </xdr:from>
    <xdr:to>
      <xdr:col>1</xdr:col>
      <xdr:colOff>266700</xdr:colOff>
      <xdr:row>44</xdr:row>
      <xdr:rowOff>95250</xdr:rowOff>
    </xdr:to>
    <xdr:pic>
      <xdr:nvPicPr>
        <xdr:cNvPr id="2" name="1 Imagen" descr="igasamex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0525" y="7019925"/>
          <a:ext cx="762000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1</xdr:row>
          <xdr:rowOff>19050</xdr:rowOff>
        </xdr:from>
        <xdr:to>
          <xdr:col>1</xdr:col>
          <xdr:colOff>495300</xdr:colOff>
          <xdr:row>6</xdr:row>
          <xdr:rowOff>19050</xdr:rowOff>
        </xdr:to>
        <xdr:sp macro="" textlink="">
          <xdr:nvSpPr>
            <xdr:cNvPr id="8193" name="Object 1" hidden="1">
              <a:extLst>
                <a:ext uri="{63B3BB69-23CF-44E3-9099-C40C66FF867C}">
                  <a14:compatExt spid="_x0000_s81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1</xdr:row>
          <xdr:rowOff>19050</xdr:rowOff>
        </xdr:from>
        <xdr:to>
          <xdr:col>1</xdr:col>
          <xdr:colOff>495300</xdr:colOff>
          <xdr:row>6</xdr:row>
          <xdr:rowOff>38100</xdr:rowOff>
        </xdr:to>
        <xdr:sp macro="" textlink="">
          <xdr:nvSpPr>
            <xdr:cNvPr id="9217" name="Object 1" hidden="1">
              <a:extLst>
                <a:ext uri="{63B3BB69-23CF-44E3-9099-C40C66FF867C}">
                  <a14:compatExt spid="_x0000_s92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scalante/AppData/Local/Microsoft/Windows/Temporary%20Internet%20Files/Content.Outlook/J5R3M6GY/FACT%20REV%200%20JULIO%202013/FACT%20MAYAKAN%20REV%200%20JULIO201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érida oeste"/>
      <sheetName val="GAMESA"/>
      <sheetName val="BIMBO"/>
      <sheetName val="Consumo GAMESA"/>
      <sheetName val="Consumo BIMBO"/>
      <sheetName val="Balance Volumétrico"/>
      <sheetName val="Días laborados"/>
      <sheetName val="TOTAL"/>
      <sheetName val="QUINCENA 2"/>
      <sheetName val="QUINCENA 1"/>
      <sheetName val="WEB"/>
    </sheetNames>
    <sheetDataSet>
      <sheetData sheetId="0">
        <row r="6">
          <cell r="F6">
            <v>3.47247804866E-2</v>
          </cell>
        </row>
        <row r="7">
          <cell r="F7">
            <v>3.4826246297300002E-2</v>
          </cell>
        </row>
        <row r="8">
          <cell r="F8">
            <v>3.4399586372000003E-2</v>
          </cell>
        </row>
        <row r="9">
          <cell r="F9">
            <v>3.4559190587299997E-2</v>
          </cell>
        </row>
        <row r="10">
          <cell r="F10">
            <v>3.45093055907E-2</v>
          </cell>
        </row>
        <row r="11">
          <cell r="F11">
            <v>3.5525620783799998E-2</v>
          </cell>
        </row>
        <row r="12">
          <cell r="F12">
            <v>3.4532081120000002E-2</v>
          </cell>
        </row>
        <row r="13">
          <cell r="F13">
            <v>3.4631416904399998E-2</v>
          </cell>
        </row>
        <row r="14">
          <cell r="F14">
            <v>3.4427882907200003E-2</v>
          </cell>
        </row>
        <row r="15">
          <cell r="F15">
            <v>3.4441979319199997E-2</v>
          </cell>
        </row>
        <row r="16">
          <cell r="F16">
            <v>3.44167669817E-2</v>
          </cell>
        </row>
        <row r="17">
          <cell r="F17">
            <v>3.4446279066500003E-2</v>
          </cell>
        </row>
        <row r="18">
          <cell r="F18">
            <v>3.4851054663200001E-2</v>
          </cell>
        </row>
        <row r="19">
          <cell r="F19">
            <v>3.47785583335E-2</v>
          </cell>
        </row>
        <row r="20">
          <cell r="F20">
            <v>3.4355701757599999E-2</v>
          </cell>
        </row>
        <row r="21">
          <cell r="F21">
            <v>3.46074311679E-2</v>
          </cell>
        </row>
        <row r="22">
          <cell r="F22">
            <v>3.4428554204800003E-2</v>
          </cell>
        </row>
        <row r="23">
          <cell r="F23">
            <v>3.4228159705699999E-2</v>
          </cell>
        </row>
        <row r="24">
          <cell r="F24">
            <v>3.4563514135000001E-2</v>
          </cell>
        </row>
        <row r="25">
          <cell r="F25">
            <v>3.4868351214399997E-2</v>
          </cell>
        </row>
        <row r="26">
          <cell r="F26">
            <v>3.4431880720699998E-2</v>
          </cell>
        </row>
        <row r="27">
          <cell r="F27">
            <v>3.4963525218200002E-2</v>
          </cell>
        </row>
        <row r="28">
          <cell r="F28">
            <v>3.6051090857900002E-2</v>
          </cell>
        </row>
        <row r="29">
          <cell r="F29">
            <v>3.6060777978899998E-2</v>
          </cell>
        </row>
        <row r="30">
          <cell r="F30">
            <v>3.4884470329000002E-2</v>
          </cell>
        </row>
        <row r="31">
          <cell r="F31">
            <v>3.4736676601099997E-2</v>
          </cell>
        </row>
        <row r="32">
          <cell r="F32">
            <v>3.4426408337400002E-2</v>
          </cell>
        </row>
        <row r="33">
          <cell r="F33">
            <v>3.4326016537000001E-2</v>
          </cell>
        </row>
        <row r="34">
          <cell r="F34">
            <v>3.5174025514700002E-2</v>
          </cell>
        </row>
        <row r="35">
          <cell r="F35">
            <v>3.48088650833E-2</v>
          </cell>
        </row>
        <row r="36">
          <cell r="F36">
            <v>3.4951043399499997E-2</v>
          </cell>
        </row>
      </sheetData>
      <sheetData sheetId="1"/>
      <sheetData sheetId="2"/>
      <sheetData sheetId="3"/>
      <sheetData sheetId="4"/>
      <sheetData sheetId="5"/>
      <sheetData sheetId="6">
        <row r="11">
          <cell r="A11">
            <v>41456</v>
          </cell>
        </row>
        <row r="12">
          <cell r="A12">
            <v>41457</v>
          </cell>
        </row>
        <row r="13">
          <cell r="A13">
            <v>41458</v>
          </cell>
        </row>
        <row r="14">
          <cell r="A14">
            <v>41459</v>
          </cell>
        </row>
        <row r="15">
          <cell r="A15">
            <v>41460</v>
          </cell>
        </row>
        <row r="16">
          <cell r="A16">
            <v>41461</v>
          </cell>
        </row>
        <row r="17">
          <cell r="A17">
            <v>41462</v>
          </cell>
        </row>
        <row r="18">
          <cell r="A18">
            <v>41463</v>
          </cell>
        </row>
        <row r="19">
          <cell r="A19">
            <v>41464</v>
          </cell>
        </row>
        <row r="20">
          <cell r="A20">
            <v>41465</v>
          </cell>
        </row>
        <row r="21">
          <cell r="A21">
            <v>41466</v>
          </cell>
        </row>
        <row r="22">
          <cell r="A22">
            <v>41467</v>
          </cell>
        </row>
        <row r="23">
          <cell r="A23">
            <v>41468</v>
          </cell>
        </row>
        <row r="24">
          <cell r="A24">
            <v>41469</v>
          </cell>
        </row>
        <row r="25">
          <cell r="A25">
            <v>41470</v>
          </cell>
        </row>
        <row r="26">
          <cell r="A26">
            <v>41471</v>
          </cell>
        </row>
        <row r="27">
          <cell r="A27">
            <v>41472</v>
          </cell>
        </row>
        <row r="28">
          <cell r="A28">
            <v>41473</v>
          </cell>
        </row>
        <row r="29">
          <cell r="A29">
            <v>41474</v>
          </cell>
        </row>
        <row r="30">
          <cell r="A30">
            <v>41475</v>
          </cell>
        </row>
        <row r="31">
          <cell r="A31">
            <v>41476</v>
          </cell>
        </row>
        <row r="32">
          <cell r="A32">
            <v>41477</v>
          </cell>
        </row>
        <row r="33">
          <cell r="A33">
            <v>41478</v>
          </cell>
        </row>
        <row r="34">
          <cell r="A34">
            <v>41479</v>
          </cell>
        </row>
        <row r="35">
          <cell r="A35">
            <v>41480</v>
          </cell>
        </row>
        <row r="36">
          <cell r="A36">
            <v>41481</v>
          </cell>
        </row>
        <row r="37">
          <cell r="A37">
            <v>41482</v>
          </cell>
        </row>
        <row r="38">
          <cell r="A38">
            <v>41483</v>
          </cell>
        </row>
        <row r="39">
          <cell r="A39">
            <v>41484</v>
          </cell>
        </row>
        <row r="40">
          <cell r="A40">
            <v>41485</v>
          </cell>
        </row>
        <row r="41">
          <cell r="A41">
            <v>41486</v>
          </cell>
        </row>
      </sheetData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2.emf"/><Relationship Id="rId4" Type="http://schemas.openxmlformats.org/officeDocument/2006/relationships/oleObject" Target="../embeddings/Microsoft_Word_97_-_2003_Document1.doc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2.emf"/><Relationship Id="rId4" Type="http://schemas.openxmlformats.org/officeDocument/2006/relationships/oleObject" Target="../embeddings/Microsoft_Word_97_-_2003_Document2.doc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48"/>
  <sheetViews>
    <sheetView topLeftCell="A10" zoomScale="85" workbookViewId="0">
      <selection sqref="A1:H1"/>
    </sheetView>
  </sheetViews>
  <sheetFormatPr baseColWidth="10" defaultRowHeight="12.75" x14ac:dyDescent="0.2"/>
  <cols>
    <col min="1" max="1" width="13.28515625" style="1" bestFit="1" customWidth="1"/>
    <col min="2" max="2" width="11.85546875" style="1" bestFit="1" customWidth="1"/>
    <col min="3" max="5" width="8.7109375" style="1" customWidth="1"/>
    <col min="6" max="6" width="13.7109375" style="1" bestFit="1" customWidth="1"/>
    <col min="7" max="7" width="11.7109375" style="1" customWidth="1"/>
    <col min="8" max="8" width="13.7109375" style="1" bestFit="1" customWidth="1"/>
    <col min="9" max="9" width="11.7109375" style="1" customWidth="1"/>
    <col min="10" max="10" width="16.42578125" style="1" customWidth="1"/>
    <col min="11" max="11" width="14.5703125" style="1" customWidth="1"/>
    <col min="12" max="12" width="11.7109375" style="1" customWidth="1"/>
    <col min="13" max="13" width="13.7109375" style="1" bestFit="1" customWidth="1"/>
    <col min="14" max="14" width="11.7109375" style="1" customWidth="1"/>
    <col min="15" max="15" width="15.28515625" style="1" bestFit="1" customWidth="1"/>
    <col min="16" max="16" width="7" style="1" customWidth="1"/>
    <col min="17" max="17" width="4.7109375" style="1" customWidth="1"/>
    <col min="18" max="18" width="11.42578125" style="1"/>
    <col min="19" max="19" width="11.85546875" style="1" bestFit="1" customWidth="1"/>
    <col min="20" max="20" width="11.42578125" style="1"/>
    <col min="21" max="21" width="4" style="1" customWidth="1"/>
    <col min="22" max="22" width="11.85546875" style="1" bestFit="1" customWidth="1"/>
    <col min="23" max="23" width="14.140625" style="1" bestFit="1" customWidth="1"/>
    <col min="24" max="24" width="3" style="1" customWidth="1"/>
    <col min="25" max="30" width="11.42578125" style="1"/>
    <col min="31" max="31" width="11.42578125" style="98"/>
    <col min="32" max="32" width="25.7109375" style="5" bestFit="1" customWidth="1"/>
    <col min="33" max="33" width="9.28515625" style="5" customWidth="1"/>
    <col min="34" max="35" width="14" style="5" customWidth="1"/>
    <col min="36" max="36" width="14.28515625" style="5" bestFit="1" customWidth="1"/>
    <col min="37" max="37" width="6.5703125" style="5" bestFit="1" customWidth="1"/>
    <col min="38" max="41" width="13.140625" style="5" customWidth="1"/>
    <col min="42" max="55" width="11.42578125" style="5"/>
    <col min="56" max="16384" width="11.42578125" style="1"/>
  </cols>
  <sheetData>
    <row r="1" spans="1:42" ht="13.5" thickBot="1" x14ac:dyDescent="0.25">
      <c r="AE1" s="2"/>
      <c r="AF1" s="3"/>
      <c r="AG1" s="3"/>
      <c r="AH1" s="3"/>
      <c r="AI1" s="3"/>
      <c r="AJ1" s="4" t="s">
        <v>0</v>
      </c>
      <c r="AK1" s="3"/>
      <c r="AL1" s="3"/>
      <c r="AM1" s="3"/>
      <c r="AN1" s="3"/>
      <c r="AO1" s="3"/>
      <c r="AP1" s="3"/>
    </row>
    <row r="2" spans="1:42" ht="51.75" thickBot="1" x14ac:dyDescent="0.25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11</v>
      </c>
      <c r="L2" s="8" t="s">
        <v>12</v>
      </c>
      <c r="M2" s="8" t="s">
        <v>13</v>
      </c>
      <c r="N2" s="9" t="s">
        <v>14</v>
      </c>
      <c r="O2" s="10" t="s">
        <v>15</v>
      </c>
      <c r="Q2" s="11" t="s">
        <v>16</v>
      </c>
      <c r="R2" s="12" t="s">
        <v>17</v>
      </c>
      <c r="S2" s="13" t="s">
        <v>18</v>
      </c>
      <c r="T2" s="14" t="s">
        <v>19</v>
      </c>
      <c r="V2" s="14" t="s">
        <v>20</v>
      </c>
      <c r="W2" s="15" t="s">
        <v>21</v>
      </c>
      <c r="Y2" s="16" t="s">
        <v>22</v>
      </c>
      <c r="Z2" s="17" t="s">
        <v>23</v>
      </c>
      <c r="AA2" s="18" t="s">
        <v>24</v>
      </c>
      <c r="AE2" s="2"/>
      <c r="AF2" s="19" t="s">
        <v>25</v>
      </c>
      <c r="AG2" s="20" t="s">
        <v>5</v>
      </c>
      <c r="AH2" s="21" t="s">
        <v>26</v>
      </c>
      <c r="AI2" s="22" t="s">
        <v>27</v>
      </c>
      <c r="AJ2" s="23" t="s">
        <v>28</v>
      </c>
      <c r="AK2" s="3"/>
      <c r="AL2" s="24" t="s">
        <v>29</v>
      </c>
      <c r="AM2" s="25" t="s">
        <v>30</v>
      </c>
      <c r="AN2" s="26" t="s">
        <v>31</v>
      </c>
      <c r="AO2" s="26" t="s">
        <v>32</v>
      </c>
      <c r="AP2" s="3"/>
    </row>
    <row r="3" spans="1:42" x14ac:dyDescent="0.2">
      <c r="A3" s="27">
        <v>5</v>
      </c>
      <c r="B3" s="28">
        <v>0.375</v>
      </c>
      <c r="C3" s="29">
        <v>2013</v>
      </c>
      <c r="D3" s="29">
        <v>7</v>
      </c>
      <c r="E3" s="29">
        <v>1</v>
      </c>
      <c r="F3" s="106">
        <v>72779</v>
      </c>
      <c r="G3" s="29">
        <v>0</v>
      </c>
      <c r="H3" s="106">
        <v>650607</v>
      </c>
      <c r="I3" s="29">
        <v>0</v>
      </c>
      <c r="J3" s="29">
        <v>0</v>
      </c>
      <c r="K3" s="29">
        <v>0</v>
      </c>
      <c r="L3" s="106">
        <v>313.16230000000002</v>
      </c>
      <c r="M3" s="106">
        <v>28.6</v>
      </c>
      <c r="N3" s="30">
        <v>0</v>
      </c>
      <c r="O3" s="107">
        <v>971</v>
      </c>
      <c r="P3" s="31">
        <f>F4-F3</f>
        <v>971</v>
      </c>
      <c r="Q3" s="1">
        <v>1</v>
      </c>
      <c r="R3" s="108">
        <f>S3/4.1868</f>
        <v>8293.8713305149522</v>
      </c>
      <c r="S3" s="109">
        <f>'[1]Mérida oeste'!F6*1000000</f>
        <v>34724.780486600001</v>
      </c>
      <c r="T3" s="110">
        <f>R3*0.11237</f>
        <v>931.98232140996515</v>
      </c>
      <c r="U3" s="111"/>
      <c r="V3" s="110">
        <f>O3</f>
        <v>971</v>
      </c>
      <c r="W3" s="112">
        <f>V3*35.31467</f>
        <v>34290.544569999998</v>
      </c>
      <c r="X3" s="111"/>
      <c r="Y3" s="113">
        <f>V3*R3/1000000</f>
        <v>8.0533490619300192</v>
      </c>
      <c r="Z3" s="114">
        <f>S3*V3/1000000</f>
        <v>33.7177618524886</v>
      </c>
      <c r="AA3" s="115">
        <f>W3*T3/1000000</f>
        <v>31.958181330760475</v>
      </c>
      <c r="AE3" s="2" t="str">
        <f>RIGHT(F3,6)</f>
        <v>72779</v>
      </c>
      <c r="AF3" s="32">
        <v>5</v>
      </c>
      <c r="AG3" s="33">
        <v>1</v>
      </c>
      <c r="AH3" s="34">
        <v>72779</v>
      </c>
      <c r="AI3" s="35">
        <f t="shared" ref="AI3:AI34" si="0">IFERROR(AE3*1,0)</f>
        <v>72779</v>
      </c>
      <c r="AJ3" s="36">
        <f>(AI3-AH3)</f>
        <v>0</v>
      </c>
      <c r="AK3" s="3"/>
      <c r="AL3" s="37">
        <f>AH4-AH3</f>
        <v>978</v>
      </c>
      <c r="AM3" s="38">
        <f>AI4-AI3</f>
        <v>971</v>
      </c>
      <c r="AN3" s="39">
        <f>(AM3-AL3)</f>
        <v>-7</v>
      </c>
      <c r="AO3" s="40">
        <f t="shared" ref="AO3:AO33" si="1">IFERROR(AN3/AM3,"")</f>
        <v>-7.2090628218331619E-3</v>
      </c>
      <c r="AP3" s="3"/>
    </row>
    <row r="4" spans="1:42" x14ac:dyDescent="0.2">
      <c r="A4" s="41">
        <v>5</v>
      </c>
      <c r="B4" s="42">
        <v>0.375</v>
      </c>
      <c r="C4" s="43">
        <v>2013</v>
      </c>
      <c r="D4" s="43">
        <v>7</v>
      </c>
      <c r="E4" s="43">
        <v>2</v>
      </c>
      <c r="F4" s="116">
        <v>73750</v>
      </c>
      <c r="G4" s="43">
        <v>0</v>
      </c>
      <c r="H4" s="116">
        <v>650651</v>
      </c>
      <c r="I4" s="43">
        <v>0</v>
      </c>
      <c r="J4" s="43">
        <v>0</v>
      </c>
      <c r="K4" s="43">
        <v>0</v>
      </c>
      <c r="L4" s="116">
        <v>311.5412</v>
      </c>
      <c r="M4" s="116">
        <v>29.9</v>
      </c>
      <c r="N4" s="44">
        <v>0</v>
      </c>
      <c r="O4" s="117">
        <v>4156</v>
      </c>
      <c r="P4" s="31">
        <f t="shared" ref="P4:P33" si="2">F5-F4</f>
        <v>4156</v>
      </c>
      <c r="Q4" s="1">
        <v>2</v>
      </c>
      <c r="R4" s="118">
        <f t="shared" ref="R4:R33" si="3">S4/4.1868</f>
        <v>8318.1060230486291</v>
      </c>
      <c r="S4" s="119">
        <f>'[1]Mérida oeste'!F7*1000000</f>
        <v>34826.2462973</v>
      </c>
      <c r="T4" s="120">
        <f>R4*0.11237</f>
        <v>934.70557380997445</v>
      </c>
      <c r="U4" s="111"/>
      <c r="V4" s="120">
        <f t="shared" ref="V4:V33" si="4">O4</f>
        <v>4156</v>
      </c>
      <c r="W4" s="121">
        <f>V4*35.31467</f>
        <v>146767.76852000001</v>
      </c>
      <c r="X4" s="111"/>
      <c r="Y4" s="122">
        <f>V4*R4/1000000</f>
        <v>34.570048631790101</v>
      </c>
      <c r="Z4" s="119">
        <f>S4*V4/1000000</f>
        <v>144.73787961157879</v>
      </c>
      <c r="AA4" s="120">
        <f>W4*T4/1000000</f>
        <v>137.18465129129612</v>
      </c>
      <c r="AE4" s="2" t="str">
        <f t="shared" ref="AE4:AE34" si="5">RIGHT(F4,6)</f>
        <v>73750</v>
      </c>
      <c r="AF4" s="45">
        <v>5</v>
      </c>
      <c r="AG4" s="46">
        <v>2</v>
      </c>
      <c r="AH4" s="47">
        <v>73757</v>
      </c>
      <c r="AI4" s="48">
        <f t="shared" si="0"/>
        <v>73750</v>
      </c>
      <c r="AJ4" s="49">
        <f t="shared" ref="AJ4:AJ34" si="6">(AI4-AH4)</f>
        <v>-7</v>
      </c>
      <c r="AK4" s="3"/>
      <c r="AL4" s="37">
        <f t="shared" ref="AL4:AM33" si="7">AH5-AH4</f>
        <v>-73757</v>
      </c>
      <c r="AM4" s="50">
        <f t="shared" si="7"/>
        <v>4156</v>
      </c>
      <c r="AN4" s="51">
        <f t="shared" ref="AN4:AN33" si="8">(AM4-AL4)</f>
        <v>77913</v>
      </c>
      <c r="AO4" s="52">
        <f t="shared" si="1"/>
        <v>18.747112608277188</v>
      </c>
      <c r="AP4" s="3"/>
    </row>
    <row r="5" spans="1:42" x14ac:dyDescent="0.2">
      <c r="A5" s="41">
        <v>5</v>
      </c>
      <c r="B5" s="42">
        <v>0.375</v>
      </c>
      <c r="C5" s="43">
        <v>2013</v>
      </c>
      <c r="D5" s="43">
        <v>7</v>
      </c>
      <c r="E5" s="43">
        <v>3</v>
      </c>
      <c r="F5" s="116">
        <v>77906</v>
      </c>
      <c r="G5" s="43">
        <v>0</v>
      </c>
      <c r="H5" s="116">
        <v>650842</v>
      </c>
      <c r="I5" s="43">
        <v>0</v>
      </c>
      <c r="J5" s="43">
        <v>0</v>
      </c>
      <c r="K5" s="43">
        <v>0</v>
      </c>
      <c r="L5" s="116">
        <v>310.82639999999998</v>
      </c>
      <c r="M5" s="116">
        <v>31.1</v>
      </c>
      <c r="N5" s="44">
        <v>0</v>
      </c>
      <c r="O5" s="117">
        <v>4191</v>
      </c>
      <c r="P5" s="31">
        <f t="shared" si="2"/>
        <v>4191</v>
      </c>
      <c r="Q5" s="1">
        <v>3</v>
      </c>
      <c r="R5" s="118">
        <f t="shared" si="3"/>
        <v>8216.2000506353324</v>
      </c>
      <c r="S5" s="119">
        <f>'[1]Mérida oeste'!F8*1000000</f>
        <v>34399.586372000005</v>
      </c>
      <c r="T5" s="120">
        <f t="shared" ref="T5:T33" si="9">R5*0.11237</f>
        <v>923.25439968989224</v>
      </c>
      <c r="U5" s="111"/>
      <c r="V5" s="120">
        <f t="shared" si="4"/>
        <v>4191</v>
      </c>
      <c r="W5" s="121">
        <f t="shared" ref="W5:W33" si="10">V5*35.31467</f>
        <v>148003.78197000001</v>
      </c>
      <c r="X5" s="111"/>
      <c r="Y5" s="122">
        <f t="shared" ref="Y5:Y33" si="11">V5*R5/1000000</f>
        <v>34.43409441221268</v>
      </c>
      <c r="Z5" s="119">
        <f t="shared" ref="Z5:Z33" si="12">S5*V5/1000000</f>
        <v>144.16866648505203</v>
      </c>
      <c r="AA5" s="120">
        <f t="shared" ref="AA5:AA33" si="13">W5*T5/1000000</f>
        <v>136.64514287454605</v>
      </c>
      <c r="AE5" s="2" t="str">
        <f t="shared" si="5"/>
        <v>77906</v>
      </c>
      <c r="AF5" s="45"/>
      <c r="AG5" s="46"/>
      <c r="AH5" s="47"/>
      <c r="AI5" s="48">
        <f t="shared" si="0"/>
        <v>77906</v>
      </c>
      <c r="AJ5" s="49">
        <f t="shared" si="6"/>
        <v>77906</v>
      </c>
      <c r="AK5" s="3"/>
      <c r="AL5" s="37">
        <f t="shared" si="7"/>
        <v>82101</v>
      </c>
      <c r="AM5" s="50">
        <f t="shared" si="7"/>
        <v>4191</v>
      </c>
      <c r="AN5" s="51">
        <f t="shared" si="8"/>
        <v>-77910</v>
      </c>
      <c r="AO5" s="52">
        <f t="shared" si="1"/>
        <v>-18.589835361488905</v>
      </c>
      <c r="AP5" s="3"/>
    </row>
    <row r="6" spans="1:42" x14ac:dyDescent="0.2">
      <c r="A6" s="41">
        <v>5</v>
      </c>
      <c r="B6" s="42">
        <v>0.375</v>
      </c>
      <c r="C6" s="43">
        <v>2013</v>
      </c>
      <c r="D6" s="43">
        <v>7</v>
      </c>
      <c r="E6" s="43">
        <v>4</v>
      </c>
      <c r="F6" s="116">
        <v>82097</v>
      </c>
      <c r="G6" s="43">
        <v>0</v>
      </c>
      <c r="H6" s="116">
        <v>651033</v>
      </c>
      <c r="I6" s="43">
        <v>0</v>
      </c>
      <c r="J6" s="43">
        <v>0</v>
      </c>
      <c r="K6" s="43">
        <v>0</v>
      </c>
      <c r="L6" s="116">
        <v>310.92989999999998</v>
      </c>
      <c r="M6" s="116">
        <v>30.3</v>
      </c>
      <c r="N6" s="44">
        <v>0</v>
      </c>
      <c r="O6" s="117">
        <v>4052</v>
      </c>
      <c r="P6" s="31">
        <f t="shared" si="2"/>
        <v>4052</v>
      </c>
      <c r="Q6" s="1">
        <v>4</v>
      </c>
      <c r="R6" s="118">
        <f t="shared" si="3"/>
        <v>8254.3208625441875</v>
      </c>
      <c r="S6" s="119">
        <f>'[1]Mérida oeste'!F9*1000000</f>
        <v>34559.1905873</v>
      </c>
      <c r="T6" s="120">
        <f t="shared" si="9"/>
        <v>927.53803532409029</v>
      </c>
      <c r="U6" s="111"/>
      <c r="V6" s="120">
        <f t="shared" si="4"/>
        <v>4052</v>
      </c>
      <c r="W6" s="121">
        <f t="shared" si="10"/>
        <v>143095.04284000001</v>
      </c>
      <c r="X6" s="111"/>
      <c r="Y6" s="122">
        <f t="shared" si="11"/>
        <v>33.446508135029049</v>
      </c>
      <c r="Z6" s="119">
        <f t="shared" si="12"/>
        <v>140.03384025973961</v>
      </c>
      <c r="AA6" s="120">
        <f t="shared" si="13"/>
        <v>132.72609490043016</v>
      </c>
      <c r="AE6" s="2" t="str">
        <f t="shared" si="5"/>
        <v>82097</v>
      </c>
      <c r="AF6" s="45">
        <v>5</v>
      </c>
      <c r="AG6" s="46">
        <v>4</v>
      </c>
      <c r="AH6" s="47">
        <v>82101</v>
      </c>
      <c r="AI6" s="48">
        <f t="shared" si="0"/>
        <v>82097</v>
      </c>
      <c r="AJ6" s="49">
        <f t="shared" si="6"/>
        <v>-4</v>
      </c>
      <c r="AK6" s="3"/>
      <c r="AL6" s="37">
        <f t="shared" si="7"/>
        <v>4053</v>
      </c>
      <c r="AM6" s="50">
        <f t="shared" si="7"/>
        <v>4052</v>
      </c>
      <c r="AN6" s="51">
        <f t="shared" si="8"/>
        <v>-1</v>
      </c>
      <c r="AO6" s="52">
        <f t="shared" si="1"/>
        <v>-2.4679170779861795E-4</v>
      </c>
      <c r="AP6" s="3"/>
    </row>
    <row r="7" spans="1:42" x14ac:dyDescent="0.2">
      <c r="A7" s="41">
        <v>5</v>
      </c>
      <c r="B7" s="42">
        <v>0.375</v>
      </c>
      <c r="C7" s="43">
        <v>2013</v>
      </c>
      <c r="D7" s="43">
        <v>7</v>
      </c>
      <c r="E7" s="43">
        <v>5</v>
      </c>
      <c r="F7" s="116">
        <v>86149</v>
      </c>
      <c r="G7" s="43">
        <v>0</v>
      </c>
      <c r="H7" s="116">
        <v>651219</v>
      </c>
      <c r="I7" s="43">
        <v>0</v>
      </c>
      <c r="J7" s="43">
        <v>0</v>
      </c>
      <c r="K7" s="43">
        <v>0</v>
      </c>
      <c r="L7" s="116">
        <v>310.82889999999998</v>
      </c>
      <c r="M7" s="116">
        <v>30.6</v>
      </c>
      <c r="N7" s="44">
        <v>0</v>
      </c>
      <c r="O7" s="117">
        <v>3791</v>
      </c>
      <c r="P7" s="31">
        <f t="shared" si="2"/>
        <v>3791</v>
      </c>
      <c r="Q7" s="1">
        <v>5</v>
      </c>
      <c r="R7" s="118">
        <f t="shared" si="3"/>
        <v>8242.4060358030001</v>
      </c>
      <c r="S7" s="119">
        <f>'[1]Mérida oeste'!F10*1000000</f>
        <v>34509.305590700002</v>
      </c>
      <c r="T7" s="120">
        <f t="shared" si="9"/>
        <v>926.19916624318307</v>
      </c>
      <c r="U7" s="111"/>
      <c r="V7" s="120">
        <f t="shared" si="4"/>
        <v>3791</v>
      </c>
      <c r="W7" s="121">
        <f t="shared" si="10"/>
        <v>133877.91396999999</v>
      </c>
      <c r="X7" s="111"/>
      <c r="Y7" s="122">
        <f t="shared" si="11"/>
        <v>31.246961281729174</v>
      </c>
      <c r="Z7" s="119">
        <f t="shared" si="12"/>
        <v>130.82477749434372</v>
      </c>
      <c r="AA7" s="120">
        <f t="shared" si="13"/>
        <v>123.99761229739057</v>
      </c>
      <c r="AE7" s="2" t="str">
        <f t="shared" si="5"/>
        <v>86149</v>
      </c>
      <c r="AF7" s="45">
        <v>5</v>
      </c>
      <c r="AG7" s="46">
        <v>5</v>
      </c>
      <c r="AH7" s="47">
        <v>86154</v>
      </c>
      <c r="AI7" s="48">
        <f t="shared" si="0"/>
        <v>86149</v>
      </c>
      <c r="AJ7" s="49">
        <f t="shared" si="6"/>
        <v>-5</v>
      </c>
      <c r="AK7" s="3"/>
      <c r="AL7" s="37">
        <f t="shared" si="7"/>
        <v>3793</v>
      </c>
      <c r="AM7" s="50">
        <f t="shared" si="7"/>
        <v>3791</v>
      </c>
      <c r="AN7" s="51">
        <f t="shared" si="8"/>
        <v>-2</v>
      </c>
      <c r="AO7" s="52">
        <f t="shared" si="1"/>
        <v>-5.2756528620416781E-4</v>
      </c>
      <c r="AP7" s="3"/>
    </row>
    <row r="8" spans="1:42" x14ac:dyDescent="0.2">
      <c r="A8" s="41">
        <v>5</v>
      </c>
      <c r="B8" s="42">
        <v>0.375</v>
      </c>
      <c r="C8" s="43">
        <v>2013</v>
      </c>
      <c r="D8" s="43">
        <v>7</v>
      </c>
      <c r="E8" s="43">
        <v>6</v>
      </c>
      <c r="F8" s="116">
        <v>89940</v>
      </c>
      <c r="G8" s="43">
        <v>0</v>
      </c>
      <c r="H8" s="116">
        <v>651392</v>
      </c>
      <c r="I8" s="43">
        <v>0</v>
      </c>
      <c r="J8" s="43">
        <v>0</v>
      </c>
      <c r="K8" s="43">
        <v>0</v>
      </c>
      <c r="L8" s="116">
        <v>311.15440000000001</v>
      </c>
      <c r="M8" s="116">
        <v>30.7</v>
      </c>
      <c r="N8" s="44">
        <v>0</v>
      </c>
      <c r="O8" s="117">
        <v>2687</v>
      </c>
      <c r="P8" s="31">
        <f t="shared" si="2"/>
        <v>2687</v>
      </c>
      <c r="Q8" s="1">
        <v>6</v>
      </c>
      <c r="R8" s="118">
        <f t="shared" si="3"/>
        <v>8485.1487493551158</v>
      </c>
      <c r="S8" s="119">
        <f>'[1]Mérida oeste'!F11*1000000</f>
        <v>35525.620783799997</v>
      </c>
      <c r="T8" s="120">
        <f t="shared" si="9"/>
        <v>953.47616496503429</v>
      </c>
      <c r="U8" s="111"/>
      <c r="V8" s="120">
        <f t="shared" si="4"/>
        <v>2687</v>
      </c>
      <c r="W8" s="121">
        <f t="shared" si="10"/>
        <v>94890.518289999993</v>
      </c>
      <c r="X8" s="111"/>
      <c r="Y8" s="122">
        <f t="shared" si="11"/>
        <v>22.799594689517196</v>
      </c>
      <c r="Z8" s="119">
        <f t="shared" si="12"/>
        <v>95.457343046070591</v>
      </c>
      <c r="AA8" s="120">
        <f t="shared" si="13"/>
        <v>90.475847470693637</v>
      </c>
      <c r="AE8" s="2" t="str">
        <f t="shared" si="5"/>
        <v>89940</v>
      </c>
      <c r="AF8" s="45">
        <v>5</v>
      </c>
      <c r="AG8" s="46">
        <v>6</v>
      </c>
      <c r="AH8" s="47">
        <v>89947</v>
      </c>
      <c r="AI8" s="48">
        <f t="shared" si="0"/>
        <v>89940</v>
      </c>
      <c r="AJ8" s="49">
        <f t="shared" si="6"/>
        <v>-7</v>
      </c>
      <c r="AK8" s="3"/>
      <c r="AL8" s="37">
        <f t="shared" si="7"/>
        <v>2680</v>
      </c>
      <c r="AM8" s="50">
        <f t="shared" si="7"/>
        <v>2687</v>
      </c>
      <c r="AN8" s="51">
        <f t="shared" si="8"/>
        <v>7</v>
      </c>
      <c r="AO8" s="52">
        <f t="shared" si="1"/>
        <v>2.6051358392259025E-3</v>
      </c>
      <c r="AP8" s="3"/>
    </row>
    <row r="9" spans="1:42" x14ac:dyDescent="0.2">
      <c r="A9" s="41">
        <v>5</v>
      </c>
      <c r="B9" s="42">
        <v>0.375</v>
      </c>
      <c r="C9" s="43">
        <v>2013</v>
      </c>
      <c r="D9" s="43">
        <v>7</v>
      </c>
      <c r="E9" s="43">
        <v>7</v>
      </c>
      <c r="F9" s="116">
        <v>92627</v>
      </c>
      <c r="G9" s="43">
        <v>0</v>
      </c>
      <c r="H9" s="116">
        <v>651515</v>
      </c>
      <c r="I9" s="43">
        <v>0</v>
      </c>
      <c r="J9" s="43">
        <v>0</v>
      </c>
      <c r="K9" s="43">
        <v>0</v>
      </c>
      <c r="L9" s="116">
        <v>311.77370000000002</v>
      </c>
      <c r="M9" s="116">
        <v>30.1</v>
      </c>
      <c r="N9" s="44">
        <v>0</v>
      </c>
      <c r="O9" s="117">
        <v>679</v>
      </c>
      <c r="P9" s="31">
        <f t="shared" si="2"/>
        <v>679</v>
      </c>
      <c r="Q9" s="1">
        <v>7</v>
      </c>
      <c r="R9" s="118">
        <f t="shared" si="3"/>
        <v>8247.8458775198251</v>
      </c>
      <c r="S9" s="119">
        <f>'[1]Mérida oeste'!F12*1000000</f>
        <v>34532.081120000003</v>
      </c>
      <c r="T9" s="120">
        <f t="shared" si="9"/>
        <v>926.81044125690278</v>
      </c>
      <c r="U9" s="111"/>
      <c r="V9" s="120">
        <f t="shared" si="4"/>
        <v>679</v>
      </c>
      <c r="W9" s="121">
        <f t="shared" si="10"/>
        <v>23978.660929999998</v>
      </c>
      <c r="X9" s="111"/>
      <c r="Y9" s="122">
        <f t="shared" si="11"/>
        <v>5.600287350835961</v>
      </c>
      <c r="Z9" s="119">
        <f t="shared" si="12"/>
        <v>23.447283080480002</v>
      </c>
      <c r="AA9" s="120">
        <f t="shared" si="13"/>
        <v>22.223673317282952</v>
      </c>
      <c r="AE9" s="2" t="str">
        <f t="shared" si="5"/>
        <v>92627</v>
      </c>
      <c r="AF9" s="45">
        <v>5</v>
      </c>
      <c r="AG9" s="46">
        <v>7</v>
      </c>
      <c r="AH9" s="47">
        <v>92627</v>
      </c>
      <c r="AI9" s="48">
        <f t="shared" si="0"/>
        <v>92627</v>
      </c>
      <c r="AJ9" s="49">
        <f t="shared" si="6"/>
        <v>0</v>
      </c>
      <c r="AK9" s="3"/>
      <c r="AL9" s="37">
        <f t="shared" si="7"/>
        <v>688</v>
      </c>
      <c r="AM9" s="50">
        <f t="shared" si="7"/>
        <v>679</v>
      </c>
      <c r="AN9" s="51">
        <f t="shared" si="8"/>
        <v>-9</v>
      </c>
      <c r="AO9" s="52">
        <f t="shared" si="1"/>
        <v>-1.3254786450662739E-2</v>
      </c>
      <c r="AP9" s="3"/>
    </row>
    <row r="10" spans="1:42" x14ac:dyDescent="0.2">
      <c r="A10" s="41">
        <v>5</v>
      </c>
      <c r="B10" s="42">
        <v>0.375</v>
      </c>
      <c r="C10" s="43">
        <v>2013</v>
      </c>
      <c r="D10" s="43">
        <v>7</v>
      </c>
      <c r="E10" s="43">
        <v>8</v>
      </c>
      <c r="F10" s="116">
        <v>93306</v>
      </c>
      <c r="G10" s="43">
        <v>0</v>
      </c>
      <c r="H10" s="116">
        <v>651546</v>
      </c>
      <c r="I10" s="43">
        <v>0</v>
      </c>
      <c r="J10" s="43">
        <v>0</v>
      </c>
      <c r="K10" s="43">
        <v>0</v>
      </c>
      <c r="L10" s="116">
        <v>311.98719999999997</v>
      </c>
      <c r="M10" s="116">
        <v>29</v>
      </c>
      <c r="N10" s="44">
        <v>0</v>
      </c>
      <c r="O10" s="117">
        <v>3966</v>
      </c>
      <c r="P10" s="31">
        <f t="shared" si="2"/>
        <v>3966</v>
      </c>
      <c r="Q10" s="1">
        <v>8</v>
      </c>
      <c r="R10" s="118">
        <f t="shared" si="3"/>
        <v>8271.571822012038</v>
      </c>
      <c r="S10" s="119">
        <f>'[1]Mérida oeste'!F13*1000000</f>
        <v>34631.416904400001</v>
      </c>
      <c r="T10" s="120">
        <f t="shared" si="9"/>
        <v>929.47652563949271</v>
      </c>
      <c r="U10" s="111"/>
      <c r="V10" s="120">
        <f t="shared" si="4"/>
        <v>3966</v>
      </c>
      <c r="W10" s="121">
        <f t="shared" si="10"/>
        <v>140057.98121999999</v>
      </c>
      <c r="X10" s="111"/>
      <c r="Y10" s="122">
        <f t="shared" si="11"/>
        <v>32.805053846099739</v>
      </c>
      <c r="Z10" s="119">
        <f t="shared" si="12"/>
        <v>137.34819944285042</v>
      </c>
      <c r="AA10" s="120">
        <f t="shared" si="13"/>
        <v>130.18060577244691</v>
      </c>
      <c r="AE10" s="2" t="str">
        <f t="shared" si="5"/>
        <v>93306</v>
      </c>
      <c r="AF10" s="45">
        <v>5</v>
      </c>
      <c r="AG10" s="46">
        <v>8</v>
      </c>
      <c r="AH10" s="47">
        <v>93315</v>
      </c>
      <c r="AI10" s="48">
        <f t="shared" si="0"/>
        <v>93306</v>
      </c>
      <c r="AJ10" s="49">
        <f t="shared" si="6"/>
        <v>-9</v>
      </c>
      <c r="AK10" s="3"/>
      <c r="AL10" s="37">
        <f t="shared" si="7"/>
        <v>3964</v>
      </c>
      <c r="AM10" s="50">
        <f t="shared" si="7"/>
        <v>3966</v>
      </c>
      <c r="AN10" s="51">
        <f t="shared" si="8"/>
        <v>2</v>
      </c>
      <c r="AO10" s="52">
        <f t="shared" si="1"/>
        <v>5.0428643469490675E-4</v>
      </c>
      <c r="AP10" s="3"/>
    </row>
    <row r="11" spans="1:42" x14ac:dyDescent="0.2">
      <c r="A11" s="41">
        <v>5</v>
      </c>
      <c r="B11" s="42">
        <v>0.375</v>
      </c>
      <c r="C11" s="43">
        <v>2013</v>
      </c>
      <c r="D11" s="43">
        <v>7</v>
      </c>
      <c r="E11" s="43">
        <v>9</v>
      </c>
      <c r="F11" s="116">
        <v>97272</v>
      </c>
      <c r="G11" s="43">
        <v>0</v>
      </c>
      <c r="H11" s="116">
        <v>651727</v>
      </c>
      <c r="I11" s="43">
        <v>0</v>
      </c>
      <c r="J11" s="43">
        <v>0</v>
      </c>
      <c r="K11" s="43">
        <v>0</v>
      </c>
      <c r="L11" s="116">
        <v>311.0027</v>
      </c>
      <c r="M11" s="116">
        <v>30.8</v>
      </c>
      <c r="N11" s="44">
        <v>0</v>
      </c>
      <c r="O11" s="117">
        <v>3894</v>
      </c>
      <c r="P11" s="31">
        <f t="shared" si="2"/>
        <v>3894</v>
      </c>
      <c r="Q11" s="1">
        <v>9</v>
      </c>
      <c r="R11" s="118">
        <f t="shared" si="3"/>
        <v>8222.958561956626</v>
      </c>
      <c r="S11" s="119">
        <f>'[1]Mérida oeste'!F14*1000000</f>
        <v>34427.882907200001</v>
      </c>
      <c r="T11" s="120">
        <f t="shared" si="9"/>
        <v>924.01385360706604</v>
      </c>
      <c r="V11" s="53">
        <f t="shared" si="4"/>
        <v>3894</v>
      </c>
      <c r="W11" s="54">
        <f t="shared" si="10"/>
        <v>137515.32498</v>
      </c>
      <c r="Y11" s="122">
        <f t="shared" si="11"/>
        <v>32.020200640259105</v>
      </c>
      <c r="Z11" s="119">
        <f t="shared" si="12"/>
        <v>134.06217604063681</v>
      </c>
      <c r="AA11" s="120">
        <f t="shared" si="13"/>
        <v>127.06606536479784</v>
      </c>
      <c r="AE11" s="2" t="str">
        <f t="shared" si="5"/>
        <v>97272</v>
      </c>
      <c r="AF11" s="45">
        <v>5</v>
      </c>
      <c r="AG11" s="46">
        <v>9</v>
      </c>
      <c r="AH11" s="47">
        <v>97279</v>
      </c>
      <c r="AI11" s="48">
        <f t="shared" si="0"/>
        <v>97272</v>
      </c>
      <c r="AJ11" s="49">
        <f t="shared" si="6"/>
        <v>-7</v>
      </c>
      <c r="AK11" s="3"/>
      <c r="AL11" s="37">
        <f t="shared" si="7"/>
        <v>3896</v>
      </c>
      <c r="AM11" s="50">
        <f t="shared" si="7"/>
        <v>3894</v>
      </c>
      <c r="AN11" s="51">
        <f t="shared" si="8"/>
        <v>-2</v>
      </c>
      <c r="AO11" s="52">
        <f t="shared" si="1"/>
        <v>-5.1361068310220854E-4</v>
      </c>
      <c r="AP11" s="3"/>
    </row>
    <row r="12" spans="1:42" x14ac:dyDescent="0.2">
      <c r="A12" s="41">
        <v>5</v>
      </c>
      <c r="B12" s="42">
        <v>0.375</v>
      </c>
      <c r="C12" s="43">
        <v>2013</v>
      </c>
      <c r="D12" s="43">
        <v>7</v>
      </c>
      <c r="E12" s="43">
        <v>10</v>
      </c>
      <c r="F12" s="116">
        <v>101166</v>
      </c>
      <c r="G12" s="43">
        <v>0</v>
      </c>
      <c r="H12" s="116">
        <v>651905</v>
      </c>
      <c r="I12" s="43">
        <v>0</v>
      </c>
      <c r="J12" s="43">
        <v>0</v>
      </c>
      <c r="K12" s="43">
        <v>0</v>
      </c>
      <c r="L12" s="116">
        <v>311.0505</v>
      </c>
      <c r="M12" s="116">
        <v>30.9</v>
      </c>
      <c r="N12" s="44">
        <v>0</v>
      </c>
      <c r="O12" s="117">
        <v>3967</v>
      </c>
      <c r="P12" s="31">
        <f t="shared" si="2"/>
        <v>3967</v>
      </c>
      <c r="Q12" s="1">
        <v>10</v>
      </c>
      <c r="R12" s="118">
        <f t="shared" si="3"/>
        <v>8226.3254321199965</v>
      </c>
      <c r="S12" s="119">
        <f>'[1]Mérida oeste'!F15*1000000</f>
        <v>34441.9793192</v>
      </c>
      <c r="T12" s="120">
        <f t="shared" si="9"/>
        <v>924.39218880732403</v>
      </c>
      <c r="V12" s="53">
        <f t="shared" si="4"/>
        <v>3967</v>
      </c>
      <c r="W12" s="54">
        <f t="shared" si="10"/>
        <v>140093.29589000001</v>
      </c>
      <c r="Y12" s="122">
        <f t="shared" si="11"/>
        <v>32.633832989220025</v>
      </c>
      <c r="Z12" s="119">
        <f t="shared" si="12"/>
        <v>136.63133195926639</v>
      </c>
      <c r="AA12" s="120">
        <f t="shared" si="13"/>
        <v>129.5011484249892</v>
      </c>
      <c r="AE12" s="2" t="str">
        <f t="shared" si="5"/>
        <v>101166</v>
      </c>
      <c r="AF12" s="45">
        <v>5</v>
      </c>
      <c r="AG12" s="46">
        <v>10</v>
      </c>
      <c r="AH12" s="47">
        <v>101175</v>
      </c>
      <c r="AI12" s="48">
        <f t="shared" si="0"/>
        <v>101166</v>
      </c>
      <c r="AJ12" s="49">
        <f t="shared" si="6"/>
        <v>-9</v>
      </c>
      <c r="AK12" s="3"/>
      <c r="AL12" s="37">
        <f t="shared" si="7"/>
        <v>-101175</v>
      </c>
      <c r="AM12" s="50">
        <f t="shared" si="7"/>
        <v>3967</v>
      </c>
      <c r="AN12" s="51">
        <f t="shared" si="8"/>
        <v>105142</v>
      </c>
      <c r="AO12" s="52">
        <f t="shared" si="1"/>
        <v>26.504159314343333</v>
      </c>
      <c r="AP12" s="3"/>
    </row>
    <row r="13" spans="1:42" x14ac:dyDescent="0.2">
      <c r="A13" s="41">
        <v>5</v>
      </c>
      <c r="B13" s="42">
        <v>0.375</v>
      </c>
      <c r="C13" s="43">
        <v>2013</v>
      </c>
      <c r="D13" s="43">
        <v>7</v>
      </c>
      <c r="E13" s="43">
        <v>11</v>
      </c>
      <c r="F13" s="116">
        <v>105133</v>
      </c>
      <c r="G13" s="43">
        <v>0</v>
      </c>
      <c r="H13" s="116">
        <v>652087</v>
      </c>
      <c r="I13" s="43">
        <v>0</v>
      </c>
      <c r="J13" s="43">
        <v>0</v>
      </c>
      <c r="K13" s="43">
        <v>0</v>
      </c>
      <c r="L13" s="116">
        <v>310.57990000000001</v>
      </c>
      <c r="M13" s="116">
        <v>30.7</v>
      </c>
      <c r="N13" s="44">
        <v>0</v>
      </c>
      <c r="O13" s="117">
        <v>3958</v>
      </c>
      <c r="P13" s="31">
        <f t="shared" si="2"/>
        <v>3958</v>
      </c>
      <c r="Q13" s="1">
        <v>11</v>
      </c>
      <c r="R13" s="118">
        <f t="shared" si="3"/>
        <v>8220.303568763733</v>
      </c>
      <c r="S13" s="119">
        <f>'[1]Mérida oeste'!F16*1000000</f>
        <v>34416.766981699999</v>
      </c>
      <c r="T13" s="120">
        <f t="shared" si="9"/>
        <v>923.71551202198066</v>
      </c>
      <c r="V13" s="53">
        <f t="shared" si="4"/>
        <v>3958</v>
      </c>
      <c r="W13" s="54">
        <f t="shared" si="10"/>
        <v>139775.46385999999</v>
      </c>
      <c r="Y13" s="122">
        <f t="shared" si="11"/>
        <v>32.535961525166854</v>
      </c>
      <c r="Z13" s="119">
        <f t="shared" si="12"/>
        <v>136.2215637135686</v>
      </c>
      <c r="AA13" s="120">
        <f t="shared" si="13"/>
        <v>129.11276416754976</v>
      </c>
      <c r="AE13" s="2" t="str">
        <f t="shared" si="5"/>
        <v>105133</v>
      </c>
      <c r="AF13" s="45"/>
      <c r="AG13" s="46"/>
      <c r="AH13" s="47"/>
      <c r="AI13" s="48">
        <f t="shared" si="0"/>
        <v>105133</v>
      </c>
      <c r="AJ13" s="49">
        <f t="shared" si="6"/>
        <v>105133</v>
      </c>
      <c r="AK13" s="3"/>
      <c r="AL13" s="37">
        <f t="shared" si="7"/>
        <v>0</v>
      </c>
      <c r="AM13" s="50">
        <f t="shared" si="7"/>
        <v>3958</v>
      </c>
      <c r="AN13" s="51">
        <f t="shared" si="8"/>
        <v>3958</v>
      </c>
      <c r="AO13" s="52">
        <f t="shared" si="1"/>
        <v>1</v>
      </c>
      <c r="AP13" s="3"/>
    </row>
    <row r="14" spans="1:42" x14ac:dyDescent="0.2">
      <c r="A14" s="41">
        <v>5</v>
      </c>
      <c r="B14" s="42">
        <v>0.375</v>
      </c>
      <c r="C14" s="43">
        <v>2013</v>
      </c>
      <c r="D14" s="43">
        <v>7</v>
      </c>
      <c r="E14" s="43">
        <v>12</v>
      </c>
      <c r="F14" s="116">
        <v>109091</v>
      </c>
      <c r="G14" s="43">
        <v>0</v>
      </c>
      <c r="H14" s="116">
        <v>652268</v>
      </c>
      <c r="I14" s="43">
        <v>0</v>
      </c>
      <c r="J14" s="43">
        <v>0</v>
      </c>
      <c r="K14" s="43">
        <v>0</v>
      </c>
      <c r="L14" s="116">
        <v>311.61930000000001</v>
      </c>
      <c r="M14" s="116">
        <v>31.1</v>
      </c>
      <c r="N14" s="44">
        <v>0</v>
      </c>
      <c r="O14" s="117">
        <v>4015</v>
      </c>
      <c r="P14" s="31">
        <f t="shared" si="2"/>
        <v>4015</v>
      </c>
      <c r="Q14" s="1">
        <v>12</v>
      </c>
      <c r="R14" s="118">
        <f t="shared" si="3"/>
        <v>8227.3524091191375</v>
      </c>
      <c r="S14" s="119">
        <f>'[1]Mérida oeste'!F17*1000000</f>
        <v>34446.279066500007</v>
      </c>
      <c r="T14" s="120">
        <f t="shared" si="9"/>
        <v>924.50759021271745</v>
      </c>
      <c r="V14" s="53">
        <f t="shared" si="4"/>
        <v>4015</v>
      </c>
      <c r="W14" s="54">
        <f t="shared" si="10"/>
        <v>141788.40005</v>
      </c>
      <c r="Y14" s="122">
        <f t="shared" si="11"/>
        <v>33.032819922613335</v>
      </c>
      <c r="Z14" s="119">
        <f t="shared" si="12"/>
        <v>138.30181045199751</v>
      </c>
      <c r="AA14" s="120">
        <f t="shared" si="13"/>
        <v>131.08445205034224</v>
      </c>
      <c r="AE14" s="2" t="str">
        <f t="shared" si="5"/>
        <v>109091</v>
      </c>
      <c r="AF14" s="45"/>
      <c r="AG14" s="46"/>
      <c r="AH14" s="47"/>
      <c r="AI14" s="48">
        <f t="shared" si="0"/>
        <v>109091</v>
      </c>
      <c r="AJ14" s="49">
        <f t="shared" si="6"/>
        <v>109091</v>
      </c>
      <c r="AK14" s="3"/>
      <c r="AL14" s="37">
        <f t="shared" si="7"/>
        <v>0</v>
      </c>
      <c r="AM14" s="50">
        <f t="shared" si="7"/>
        <v>4015</v>
      </c>
      <c r="AN14" s="51">
        <f t="shared" si="8"/>
        <v>4015</v>
      </c>
      <c r="AO14" s="52">
        <f t="shared" si="1"/>
        <v>1</v>
      </c>
      <c r="AP14" s="3"/>
    </row>
    <row r="15" spans="1:42" x14ac:dyDescent="0.2">
      <c r="A15" s="41">
        <v>5</v>
      </c>
      <c r="B15" s="42">
        <v>0.375</v>
      </c>
      <c r="C15" s="43">
        <v>2013</v>
      </c>
      <c r="D15" s="43">
        <v>7</v>
      </c>
      <c r="E15" s="43">
        <v>13</v>
      </c>
      <c r="F15" s="116">
        <v>113106</v>
      </c>
      <c r="G15" s="43">
        <v>0</v>
      </c>
      <c r="H15" s="116">
        <v>652451</v>
      </c>
      <c r="I15" s="43">
        <v>0</v>
      </c>
      <c r="J15" s="43">
        <v>0</v>
      </c>
      <c r="K15" s="43">
        <v>0</v>
      </c>
      <c r="L15" s="116">
        <v>312.32929999999999</v>
      </c>
      <c r="M15" s="116">
        <v>31.2</v>
      </c>
      <c r="N15" s="44">
        <v>0</v>
      </c>
      <c r="O15" s="117">
        <v>4156</v>
      </c>
      <c r="P15" s="31">
        <f t="shared" si="2"/>
        <v>4156</v>
      </c>
      <c r="Q15" s="1">
        <v>13</v>
      </c>
      <c r="R15" s="118">
        <f t="shared" si="3"/>
        <v>8324.0313994458793</v>
      </c>
      <c r="S15" s="119">
        <f>'[1]Mérida oeste'!F18*1000000</f>
        <v>34851.054663200004</v>
      </c>
      <c r="T15" s="120">
        <f t="shared" si="9"/>
        <v>935.37140835573348</v>
      </c>
      <c r="V15" s="53">
        <f t="shared" si="4"/>
        <v>4156</v>
      </c>
      <c r="W15" s="54">
        <f t="shared" si="10"/>
        <v>146767.76852000001</v>
      </c>
      <c r="Y15" s="122">
        <f t="shared" si="11"/>
        <v>34.59467449609707</v>
      </c>
      <c r="Z15" s="119">
        <f t="shared" si="12"/>
        <v>144.84098318025923</v>
      </c>
      <c r="AA15" s="120">
        <f t="shared" si="13"/>
        <v>137.2823743417807</v>
      </c>
      <c r="AE15" s="2" t="str">
        <f t="shared" si="5"/>
        <v>113106</v>
      </c>
      <c r="AF15" s="45"/>
      <c r="AG15" s="46"/>
      <c r="AH15" s="47"/>
      <c r="AI15" s="48">
        <f t="shared" si="0"/>
        <v>113106</v>
      </c>
      <c r="AJ15" s="49">
        <f t="shared" si="6"/>
        <v>113106</v>
      </c>
      <c r="AK15" s="3"/>
      <c r="AL15" s="37">
        <f t="shared" si="7"/>
        <v>0</v>
      </c>
      <c r="AM15" s="50">
        <f t="shared" si="7"/>
        <v>4156</v>
      </c>
      <c r="AN15" s="51">
        <f t="shared" si="8"/>
        <v>4156</v>
      </c>
      <c r="AO15" s="52">
        <f t="shared" si="1"/>
        <v>1</v>
      </c>
      <c r="AP15" s="3"/>
    </row>
    <row r="16" spans="1:42" x14ac:dyDescent="0.2">
      <c r="A16" s="41">
        <v>5</v>
      </c>
      <c r="B16" s="42">
        <v>0.375</v>
      </c>
      <c r="C16" s="43">
        <v>2013</v>
      </c>
      <c r="D16" s="43">
        <v>7</v>
      </c>
      <c r="E16" s="43">
        <v>14</v>
      </c>
      <c r="F16" s="116">
        <v>117262</v>
      </c>
      <c r="G16" s="43">
        <v>0</v>
      </c>
      <c r="H16" s="116">
        <v>652640</v>
      </c>
      <c r="I16" s="43">
        <v>0</v>
      </c>
      <c r="J16" s="43">
        <v>0</v>
      </c>
      <c r="K16" s="43">
        <v>0</v>
      </c>
      <c r="L16" s="116">
        <v>312.65109999999999</v>
      </c>
      <c r="M16" s="116">
        <v>30.5</v>
      </c>
      <c r="N16" s="44">
        <v>0</v>
      </c>
      <c r="O16" s="117">
        <v>4070</v>
      </c>
      <c r="P16" s="31">
        <f t="shared" si="2"/>
        <v>4070</v>
      </c>
      <c r="Q16" s="1">
        <v>14</v>
      </c>
      <c r="R16" s="118">
        <f t="shared" si="3"/>
        <v>8306.7159485764787</v>
      </c>
      <c r="S16" s="119">
        <f>'[1]Mérida oeste'!F19*1000000</f>
        <v>34778.558333499997</v>
      </c>
      <c r="T16" s="120">
        <f t="shared" si="9"/>
        <v>933.42567114153894</v>
      </c>
      <c r="V16" s="53">
        <f t="shared" si="4"/>
        <v>4070</v>
      </c>
      <c r="W16" s="54">
        <f t="shared" si="10"/>
        <v>143730.70689999999</v>
      </c>
      <c r="Y16" s="122">
        <f t="shared" si="11"/>
        <v>33.808333910706267</v>
      </c>
      <c r="Z16" s="119">
        <f t="shared" si="12"/>
        <v>141.54873241734498</v>
      </c>
      <c r="AA16" s="120">
        <f t="shared" si="13"/>
        <v>134.16193155178033</v>
      </c>
      <c r="AE16" s="2" t="str">
        <f t="shared" si="5"/>
        <v>117262</v>
      </c>
      <c r="AF16" s="45"/>
      <c r="AG16" s="46"/>
      <c r="AH16" s="47"/>
      <c r="AI16" s="48">
        <f t="shared" si="0"/>
        <v>117262</v>
      </c>
      <c r="AJ16" s="49">
        <f t="shared" si="6"/>
        <v>117262</v>
      </c>
      <c r="AK16" s="3"/>
      <c r="AL16" s="37">
        <f t="shared" si="7"/>
        <v>0</v>
      </c>
      <c r="AM16" s="50">
        <f t="shared" si="7"/>
        <v>4070</v>
      </c>
      <c r="AN16" s="51">
        <f t="shared" si="8"/>
        <v>4070</v>
      </c>
      <c r="AO16" s="52">
        <f t="shared" si="1"/>
        <v>1</v>
      </c>
      <c r="AP16" s="3"/>
    </row>
    <row r="17" spans="1:42" x14ac:dyDescent="0.2">
      <c r="A17" s="41">
        <v>5</v>
      </c>
      <c r="B17" s="42">
        <v>0.375</v>
      </c>
      <c r="C17" s="43">
        <v>2013</v>
      </c>
      <c r="D17" s="43">
        <v>7</v>
      </c>
      <c r="E17" s="43">
        <v>15</v>
      </c>
      <c r="F17" s="116">
        <v>121332</v>
      </c>
      <c r="G17" s="43">
        <v>0</v>
      </c>
      <c r="H17" s="116">
        <v>652824</v>
      </c>
      <c r="I17" s="43">
        <v>0</v>
      </c>
      <c r="J17" s="43">
        <v>0</v>
      </c>
      <c r="K17" s="43">
        <v>0</v>
      </c>
      <c r="L17" s="116">
        <v>313.61380000000003</v>
      </c>
      <c r="M17" s="116">
        <v>30.3</v>
      </c>
      <c r="N17" s="44">
        <v>0</v>
      </c>
      <c r="O17" s="117">
        <v>3668</v>
      </c>
      <c r="P17" s="31">
        <f t="shared" si="2"/>
        <v>3668</v>
      </c>
      <c r="Q17" s="1">
        <v>15</v>
      </c>
      <c r="R17" s="118">
        <f t="shared" si="3"/>
        <v>8205.7183905608108</v>
      </c>
      <c r="S17" s="119">
        <f>'[1]Mérida oeste'!F20*1000000</f>
        <v>34355.7017576</v>
      </c>
      <c r="T17" s="120">
        <f t="shared" si="9"/>
        <v>922.07657554731827</v>
      </c>
      <c r="V17" s="53">
        <f t="shared" si="4"/>
        <v>3668</v>
      </c>
      <c r="W17" s="54">
        <f t="shared" si="10"/>
        <v>129534.20956</v>
      </c>
      <c r="Y17" s="122">
        <f t="shared" si="11"/>
        <v>30.098575056577054</v>
      </c>
      <c r="Z17" s="119">
        <f t="shared" si="12"/>
        <v>126.0167140468768</v>
      </c>
      <c r="AA17" s="120">
        <f t="shared" si="13"/>
        <v>119.44046036731351</v>
      </c>
      <c r="AE17" s="2" t="str">
        <f t="shared" si="5"/>
        <v>121332</v>
      </c>
      <c r="AF17" s="45"/>
      <c r="AG17" s="46"/>
      <c r="AH17" s="47"/>
      <c r="AI17" s="48">
        <f t="shared" si="0"/>
        <v>121332</v>
      </c>
      <c r="AJ17" s="49">
        <f t="shared" si="6"/>
        <v>121332</v>
      </c>
      <c r="AK17" s="3"/>
      <c r="AL17" s="37">
        <f t="shared" si="7"/>
        <v>0</v>
      </c>
      <c r="AM17" s="50">
        <f t="shared" si="7"/>
        <v>3668</v>
      </c>
      <c r="AN17" s="51">
        <f t="shared" si="8"/>
        <v>3668</v>
      </c>
      <c r="AO17" s="52">
        <f t="shared" si="1"/>
        <v>1</v>
      </c>
      <c r="AP17" s="3"/>
    </row>
    <row r="18" spans="1:42" x14ac:dyDescent="0.2">
      <c r="A18" s="41">
        <v>5</v>
      </c>
      <c r="B18" s="42">
        <v>0.375</v>
      </c>
      <c r="C18" s="43">
        <v>2013</v>
      </c>
      <c r="D18" s="43">
        <v>7</v>
      </c>
      <c r="E18" s="43">
        <v>16</v>
      </c>
      <c r="F18" s="116">
        <v>125000</v>
      </c>
      <c r="G18" s="43">
        <v>0</v>
      </c>
      <c r="H18" s="116">
        <v>653000</v>
      </c>
      <c r="I18" s="43">
        <v>0</v>
      </c>
      <c r="J18" s="43">
        <v>0</v>
      </c>
      <c r="K18" s="43">
        <v>0</v>
      </c>
      <c r="L18" s="116">
        <v>312.44569999999999</v>
      </c>
      <c r="M18" s="116">
        <v>30.6</v>
      </c>
      <c r="N18" s="44">
        <v>0</v>
      </c>
      <c r="O18" s="117">
        <v>4295</v>
      </c>
      <c r="P18" s="31">
        <f t="shared" si="2"/>
        <v>4295</v>
      </c>
      <c r="Q18" s="1">
        <v>16</v>
      </c>
      <c r="R18" s="118">
        <f t="shared" si="3"/>
        <v>8265.8429272714257</v>
      </c>
      <c r="S18" s="119">
        <f>'[1]Mérida oeste'!F21*1000000</f>
        <v>34607.431167900002</v>
      </c>
      <c r="T18" s="120">
        <f t="shared" si="9"/>
        <v>928.83276973749003</v>
      </c>
      <c r="V18" s="53">
        <f t="shared" si="4"/>
        <v>4295</v>
      </c>
      <c r="W18" s="54">
        <f t="shared" si="10"/>
        <v>151676.50764999999</v>
      </c>
      <c r="Y18" s="122">
        <f t="shared" si="11"/>
        <v>35.501795372630774</v>
      </c>
      <c r="Z18" s="119">
        <f t="shared" si="12"/>
        <v>148.6389168661305</v>
      </c>
      <c r="AA18" s="120">
        <f t="shared" si="13"/>
        <v>140.88211070465908</v>
      </c>
      <c r="AE18" s="2" t="str">
        <f t="shared" si="5"/>
        <v>125000</v>
      </c>
      <c r="AF18" s="45"/>
      <c r="AG18" s="46"/>
      <c r="AH18" s="47"/>
      <c r="AI18" s="48">
        <f t="shared" si="0"/>
        <v>125000</v>
      </c>
      <c r="AJ18" s="49">
        <f t="shared" si="6"/>
        <v>125000</v>
      </c>
      <c r="AK18" s="3"/>
      <c r="AL18" s="37">
        <f t="shared" si="7"/>
        <v>129295</v>
      </c>
      <c r="AM18" s="50">
        <f t="shared" si="7"/>
        <v>4295</v>
      </c>
      <c r="AN18" s="51">
        <f t="shared" si="8"/>
        <v>-125000</v>
      </c>
      <c r="AO18" s="52">
        <f t="shared" si="1"/>
        <v>-29.103608847497089</v>
      </c>
      <c r="AP18" s="3"/>
    </row>
    <row r="19" spans="1:42" x14ac:dyDescent="0.2">
      <c r="A19" s="41">
        <v>5</v>
      </c>
      <c r="B19" s="42">
        <v>0.375</v>
      </c>
      <c r="C19" s="43">
        <v>2013</v>
      </c>
      <c r="D19" s="43">
        <v>7</v>
      </c>
      <c r="E19" s="43">
        <v>17</v>
      </c>
      <c r="F19" s="116">
        <v>129295</v>
      </c>
      <c r="G19" s="43">
        <v>0</v>
      </c>
      <c r="H19" s="116">
        <v>653185</v>
      </c>
      <c r="I19" s="43">
        <v>0</v>
      </c>
      <c r="J19" s="43">
        <v>0</v>
      </c>
      <c r="K19" s="43">
        <v>0</v>
      </c>
      <c r="L19" s="116">
        <v>312.44569999999999</v>
      </c>
      <c r="M19" s="116">
        <v>30.6</v>
      </c>
      <c r="N19" s="44">
        <v>0</v>
      </c>
      <c r="O19" s="117">
        <v>3568</v>
      </c>
      <c r="P19" s="31">
        <f t="shared" si="2"/>
        <v>3568</v>
      </c>
      <c r="Q19" s="1">
        <v>17</v>
      </c>
      <c r="R19" s="118">
        <f t="shared" si="3"/>
        <v>8223.1188986338038</v>
      </c>
      <c r="S19" s="119">
        <f>'[1]Mérida oeste'!F22*1000000</f>
        <v>34428.554204800006</v>
      </c>
      <c r="T19" s="120">
        <f t="shared" si="9"/>
        <v>924.03187063948053</v>
      </c>
      <c r="V19" s="53">
        <f t="shared" si="4"/>
        <v>3568</v>
      </c>
      <c r="W19" s="54">
        <f t="shared" si="10"/>
        <v>126002.74256</v>
      </c>
      <c r="Y19" s="122">
        <f t="shared" si="11"/>
        <v>29.340088230325414</v>
      </c>
      <c r="Z19" s="119">
        <f t="shared" si="12"/>
        <v>122.84108140272643</v>
      </c>
      <c r="AA19" s="120">
        <f t="shared" si="13"/>
        <v>116.43054991342169</v>
      </c>
      <c r="AE19" s="2" t="str">
        <f t="shared" si="5"/>
        <v>129295</v>
      </c>
      <c r="AF19" s="45">
        <v>5</v>
      </c>
      <c r="AG19" s="46">
        <v>17</v>
      </c>
      <c r="AH19" s="47">
        <v>129295</v>
      </c>
      <c r="AI19" s="48">
        <f t="shared" si="0"/>
        <v>129295</v>
      </c>
      <c r="AJ19" s="49">
        <f t="shared" si="6"/>
        <v>0</v>
      </c>
      <c r="AK19" s="3"/>
      <c r="AL19" s="37">
        <f t="shared" si="7"/>
        <v>-129295</v>
      </c>
      <c r="AM19" s="50">
        <f t="shared" si="7"/>
        <v>3568</v>
      </c>
      <c r="AN19" s="51">
        <f t="shared" si="8"/>
        <v>132863</v>
      </c>
      <c r="AO19" s="52">
        <f t="shared" si="1"/>
        <v>37.237387892376681</v>
      </c>
      <c r="AP19" s="3"/>
    </row>
    <row r="20" spans="1:42" x14ac:dyDescent="0.2">
      <c r="A20" s="41">
        <v>5</v>
      </c>
      <c r="B20" s="42">
        <v>0.375</v>
      </c>
      <c r="C20" s="43">
        <v>2013</v>
      </c>
      <c r="D20" s="43">
        <v>7</v>
      </c>
      <c r="E20" s="43">
        <v>18</v>
      </c>
      <c r="F20" s="116">
        <v>132863</v>
      </c>
      <c r="G20" s="43">
        <v>0</v>
      </c>
      <c r="H20" s="116">
        <v>653348</v>
      </c>
      <c r="I20" s="43">
        <v>0</v>
      </c>
      <c r="J20" s="43">
        <v>0</v>
      </c>
      <c r="K20" s="43">
        <v>0</v>
      </c>
      <c r="L20" s="116">
        <v>307.83370000000002</v>
      </c>
      <c r="M20" s="116">
        <v>29.8</v>
      </c>
      <c r="N20" s="44">
        <v>0</v>
      </c>
      <c r="O20" s="117">
        <v>3334</v>
      </c>
      <c r="P20" s="31">
        <f t="shared" si="2"/>
        <v>3334</v>
      </c>
      <c r="Q20" s="1">
        <v>18</v>
      </c>
      <c r="R20" s="118">
        <f t="shared" si="3"/>
        <v>8175.2554948170437</v>
      </c>
      <c r="S20" s="119">
        <f>'[1]Mérida oeste'!F23*1000000</f>
        <v>34228.159705699996</v>
      </c>
      <c r="T20" s="120">
        <f t="shared" si="9"/>
        <v>918.65345995259122</v>
      </c>
      <c r="V20" s="53">
        <f t="shared" si="4"/>
        <v>3334</v>
      </c>
      <c r="W20" s="54">
        <f t="shared" si="10"/>
        <v>117739.10978</v>
      </c>
      <c r="Y20" s="122">
        <f t="shared" si="11"/>
        <v>27.256301819720022</v>
      </c>
      <c r="Z20" s="119">
        <f t="shared" si="12"/>
        <v>114.11668445880379</v>
      </c>
      <c r="AA20" s="120">
        <f t="shared" si="13"/>
        <v>108.16144057113497</v>
      </c>
      <c r="AE20" s="2" t="str">
        <f t="shared" si="5"/>
        <v>132863</v>
      </c>
      <c r="AF20" s="45"/>
      <c r="AG20" s="46"/>
      <c r="AH20" s="47"/>
      <c r="AI20" s="48">
        <f t="shared" si="0"/>
        <v>132863</v>
      </c>
      <c r="AJ20" s="49">
        <f t="shared" si="6"/>
        <v>132863</v>
      </c>
      <c r="AK20" s="3"/>
      <c r="AL20" s="37">
        <f t="shared" si="7"/>
        <v>136197</v>
      </c>
      <c r="AM20" s="50">
        <f t="shared" si="7"/>
        <v>3334</v>
      </c>
      <c r="AN20" s="51">
        <f t="shared" si="8"/>
        <v>-132863</v>
      </c>
      <c r="AO20" s="52">
        <f t="shared" si="1"/>
        <v>-39.850929814037194</v>
      </c>
      <c r="AP20" s="3"/>
    </row>
    <row r="21" spans="1:42" x14ac:dyDescent="0.2">
      <c r="A21" s="41">
        <v>5</v>
      </c>
      <c r="B21" s="42">
        <v>0.375</v>
      </c>
      <c r="C21" s="43">
        <v>2013</v>
      </c>
      <c r="D21" s="43">
        <v>7</v>
      </c>
      <c r="E21" s="43">
        <v>19</v>
      </c>
      <c r="F21" s="116">
        <v>136197</v>
      </c>
      <c r="G21" s="43">
        <v>0</v>
      </c>
      <c r="H21" s="116">
        <v>653500</v>
      </c>
      <c r="I21" s="43">
        <v>0</v>
      </c>
      <c r="J21" s="43">
        <v>0</v>
      </c>
      <c r="K21" s="43">
        <v>0</v>
      </c>
      <c r="L21" s="116">
        <v>311.28339999999997</v>
      </c>
      <c r="M21" s="116">
        <v>30.1</v>
      </c>
      <c r="N21" s="44">
        <v>0</v>
      </c>
      <c r="O21" s="117">
        <v>1872</v>
      </c>
      <c r="P21" s="31">
        <f t="shared" si="2"/>
        <v>1872</v>
      </c>
      <c r="Q21" s="1">
        <v>19</v>
      </c>
      <c r="R21" s="118">
        <f t="shared" si="3"/>
        <v>8255.3535241712052</v>
      </c>
      <c r="S21" s="119">
        <f>'[1]Mérida oeste'!F24*1000000</f>
        <v>34563.514134999998</v>
      </c>
      <c r="T21" s="120">
        <f t="shared" si="9"/>
        <v>927.65407551111832</v>
      </c>
      <c r="V21" s="53">
        <f t="shared" si="4"/>
        <v>1872</v>
      </c>
      <c r="W21" s="54">
        <f t="shared" si="10"/>
        <v>66109.062239999999</v>
      </c>
      <c r="Y21" s="122">
        <f t="shared" si="11"/>
        <v>15.454021797248496</v>
      </c>
      <c r="Z21" s="119">
        <f t="shared" si="12"/>
        <v>64.702898460719993</v>
      </c>
      <c r="AA21" s="120">
        <f t="shared" si="13"/>
        <v>61.326341015154185</v>
      </c>
      <c r="AE21" s="2" t="str">
        <f t="shared" si="5"/>
        <v>136197</v>
      </c>
      <c r="AF21" s="45">
        <v>5</v>
      </c>
      <c r="AG21" s="46">
        <v>19</v>
      </c>
      <c r="AH21" s="47">
        <v>136197</v>
      </c>
      <c r="AI21" s="48">
        <f t="shared" si="0"/>
        <v>136197</v>
      </c>
      <c r="AJ21" s="49">
        <f t="shared" si="6"/>
        <v>0</v>
      </c>
      <c r="AK21" s="3"/>
      <c r="AL21" s="37">
        <f t="shared" si="7"/>
        <v>1874</v>
      </c>
      <c r="AM21" s="50">
        <f t="shared" si="7"/>
        <v>1872</v>
      </c>
      <c r="AN21" s="51">
        <f t="shared" si="8"/>
        <v>-2</v>
      </c>
      <c r="AO21" s="52">
        <f t="shared" si="1"/>
        <v>-1.0683760683760685E-3</v>
      </c>
      <c r="AP21" s="3"/>
    </row>
    <row r="22" spans="1:42" x14ac:dyDescent="0.2">
      <c r="A22" s="41">
        <v>5</v>
      </c>
      <c r="B22" s="42">
        <v>0.375</v>
      </c>
      <c r="C22" s="43">
        <v>2013</v>
      </c>
      <c r="D22" s="43">
        <v>7</v>
      </c>
      <c r="E22" s="43">
        <v>20</v>
      </c>
      <c r="F22" s="116">
        <v>138069</v>
      </c>
      <c r="G22" s="43">
        <v>0</v>
      </c>
      <c r="H22" s="116">
        <v>653585</v>
      </c>
      <c r="I22" s="43">
        <v>0</v>
      </c>
      <c r="J22" s="43">
        <v>0</v>
      </c>
      <c r="K22" s="43">
        <v>0</v>
      </c>
      <c r="L22" s="116">
        <v>311.37779999999998</v>
      </c>
      <c r="M22" s="116">
        <v>30.1</v>
      </c>
      <c r="N22" s="44">
        <v>0</v>
      </c>
      <c r="O22" s="117">
        <v>2098</v>
      </c>
      <c r="P22" s="31">
        <f t="shared" si="2"/>
        <v>2098</v>
      </c>
      <c r="Q22" s="1">
        <v>20</v>
      </c>
      <c r="R22" s="118">
        <f t="shared" si="3"/>
        <v>8328.1626097258049</v>
      </c>
      <c r="S22" s="119">
        <f>'[1]Mérida oeste'!F25*1000000</f>
        <v>34868.351214399998</v>
      </c>
      <c r="T22" s="120">
        <f t="shared" si="9"/>
        <v>935.8356324548887</v>
      </c>
      <c r="V22" s="53">
        <f t="shared" si="4"/>
        <v>2098</v>
      </c>
      <c r="W22" s="54">
        <f t="shared" si="10"/>
        <v>74090.177660000001</v>
      </c>
      <c r="Y22" s="122">
        <f t="shared" si="11"/>
        <v>17.47248515520474</v>
      </c>
      <c r="Z22" s="119">
        <f t="shared" si="12"/>
        <v>73.153800847811198</v>
      </c>
      <c r="AA22" s="120">
        <f t="shared" si="13"/>
        <v>69.336228269141174</v>
      </c>
      <c r="AE22" s="2" t="str">
        <f t="shared" si="5"/>
        <v>138069</v>
      </c>
      <c r="AF22" s="45">
        <v>5</v>
      </c>
      <c r="AG22" s="46">
        <v>20</v>
      </c>
      <c r="AH22" s="47">
        <v>138071</v>
      </c>
      <c r="AI22" s="48">
        <f t="shared" si="0"/>
        <v>138069</v>
      </c>
      <c r="AJ22" s="49">
        <f t="shared" si="6"/>
        <v>-2</v>
      </c>
      <c r="AK22" s="3"/>
      <c r="AL22" s="37">
        <f t="shared" si="7"/>
        <v>2096</v>
      </c>
      <c r="AM22" s="50">
        <f t="shared" si="7"/>
        <v>2098</v>
      </c>
      <c r="AN22" s="51">
        <f t="shared" si="8"/>
        <v>2</v>
      </c>
      <c r="AO22" s="52">
        <f t="shared" si="1"/>
        <v>9.5328884652049568E-4</v>
      </c>
      <c r="AP22" s="3"/>
    </row>
    <row r="23" spans="1:42" x14ac:dyDescent="0.2">
      <c r="A23" s="41">
        <v>5</v>
      </c>
      <c r="B23" s="42">
        <v>0.375</v>
      </c>
      <c r="C23" s="43">
        <v>2013</v>
      </c>
      <c r="D23" s="43">
        <v>7</v>
      </c>
      <c r="E23" s="43">
        <v>21</v>
      </c>
      <c r="F23" s="116">
        <v>140167</v>
      </c>
      <c r="G23" s="43">
        <v>0</v>
      </c>
      <c r="H23" s="116">
        <v>653683</v>
      </c>
      <c r="I23" s="43">
        <v>0</v>
      </c>
      <c r="J23" s="43">
        <v>0</v>
      </c>
      <c r="K23" s="43">
        <v>0</v>
      </c>
      <c r="L23" s="116">
        <v>184.57320000000001</v>
      </c>
      <c r="M23" s="116">
        <v>27.9</v>
      </c>
      <c r="N23" s="44">
        <v>0</v>
      </c>
      <c r="O23" s="117">
        <v>2106</v>
      </c>
      <c r="P23" s="31">
        <f t="shared" si="2"/>
        <v>2106</v>
      </c>
      <c r="Q23" s="1">
        <v>21</v>
      </c>
      <c r="R23" s="118">
        <f t="shared" si="3"/>
        <v>8223.9134233065834</v>
      </c>
      <c r="S23" s="119">
        <f>'[1]Mérida oeste'!F26*1000000</f>
        <v>34431.880720699999</v>
      </c>
      <c r="T23" s="120">
        <f t="shared" si="9"/>
        <v>924.12115137696071</v>
      </c>
      <c r="V23" s="53">
        <f t="shared" si="4"/>
        <v>2106</v>
      </c>
      <c r="W23" s="54">
        <f t="shared" si="10"/>
        <v>74372.695019999999</v>
      </c>
      <c r="Y23" s="122">
        <f t="shared" si="11"/>
        <v>17.319561669483665</v>
      </c>
      <c r="Z23" s="119">
        <f t="shared" si="12"/>
        <v>72.513540797794192</v>
      </c>
      <c r="AA23" s="120">
        <f t="shared" si="13"/>
        <v>68.729380552889964</v>
      </c>
      <c r="AE23" s="2" t="str">
        <f t="shared" si="5"/>
        <v>140167</v>
      </c>
      <c r="AF23" s="45">
        <v>5</v>
      </c>
      <c r="AG23" s="46">
        <v>21</v>
      </c>
      <c r="AH23" s="47">
        <v>140167</v>
      </c>
      <c r="AI23" s="48">
        <f t="shared" si="0"/>
        <v>140167</v>
      </c>
      <c r="AJ23" s="49">
        <f t="shared" si="6"/>
        <v>0</v>
      </c>
      <c r="AK23" s="3"/>
      <c r="AL23" s="37">
        <f t="shared" si="7"/>
        <v>2109</v>
      </c>
      <c r="AM23" s="50">
        <f t="shared" si="7"/>
        <v>2106</v>
      </c>
      <c r="AN23" s="51">
        <f t="shared" si="8"/>
        <v>-3</v>
      </c>
      <c r="AO23" s="52">
        <f t="shared" si="1"/>
        <v>-1.4245014245014246E-3</v>
      </c>
      <c r="AP23" s="3"/>
    </row>
    <row r="24" spans="1:42" x14ac:dyDescent="0.2">
      <c r="A24" s="41">
        <v>5</v>
      </c>
      <c r="B24" s="42">
        <v>0.375</v>
      </c>
      <c r="C24" s="43">
        <v>2013</v>
      </c>
      <c r="D24" s="43">
        <v>7</v>
      </c>
      <c r="E24" s="43">
        <v>22</v>
      </c>
      <c r="F24" s="116">
        <v>142273</v>
      </c>
      <c r="G24" s="43">
        <v>0</v>
      </c>
      <c r="H24" s="116">
        <v>653781</v>
      </c>
      <c r="I24" s="43">
        <v>0</v>
      </c>
      <c r="J24" s="43">
        <v>0</v>
      </c>
      <c r="K24" s="43">
        <v>0</v>
      </c>
      <c r="L24" s="116">
        <v>255.16980000000001</v>
      </c>
      <c r="M24" s="116">
        <v>30.2</v>
      </c>
      <c r="N24" s="44">
        <v>0</v>
      </c>
      <c r="O24" s="117">
        <v>1646</v>
      </c>
      <c r="P24" s="31">
        <f t="shared" si="2"/>
        <v>1646</v>
      </c>
      <c r="Q24" s="1">
        <v>22</v>
      </c>
      <c r="R24" s="118">
        <f t="shared" si="3"/>
        <v>8350.8945299990464</v>
      </c>
      <c r="S24" s="119">
        <f>'[1]Mérida oeste'!F27*1000000</f>
        <v>34963.525218200004</v>
      </c>
      <c r="T24" s="120">
        <f t="shared" si="9"/>
        <v>938.39001833599286</v>
      </c>
      <c r="V24" s="53">
        <f t="shared" si="4"/>
        <v>1646</v>
      </c>
      <c r="W24" s="54">
        <f t="shared" si="10"/>
        <v>58127.946819999997</v>
      </c>
      <c r="Y24" s="122">
        <f t="shared" si="11"/>
        <v>13.74557239637843</v>
      </c>
      <c r="Z24" s="119">
        <f t="shared" si="12"/>
        <v>57.549962509157204</v>
      </c>
      <c r="AA24" s="120">
        <f t="shared" si="13"/>
        <v>54.546685082253418</v>
      </c>
      <c r="AE24" s="2" t="str">
        <f t="shared" si="5"/>
        <v>142273</v>
      </c>
      <c r="AF24" s="45">
        <v>5</v>
      </c>
      <c r="AG24" s="46">
        <v>22</v>
      </c>
      <c r="AH24" s="47">
        <v>142276</v>
      </c>
      <c r="AI24" s="48">
        <f t="shared" si="0"/>
        <v>142273</v>
      </c>
      <c r="AJ24" s="49">
        <f t="shared" si="6"/>
        <v>-3</v>
      </c>
      <c r="AK24" s="3"/>
      <c r="AL24" s="37">
        <f t="shared" si="7"/>
        <v>1643</v>
      </c>
      <c r="AM24" s="50">
        <f t="shared" si="7"/>
        <v>1646</v>
      </c>
      <c r="AN24" s="51">
        <f t="shared" si="8"/>
        <v>3</v>
      </c>
      <c r="AO24" s="52">
        <f t="shared" si="1"/>
        <v>1.8226002430133657E-3</v>
      </c>
      <c r="AP24" s="3"/>
    </row>
    <row r="25" spans="1:42" x14ac:dyDescent="0.2">
      <c r="A25" s="41">
        <v>5</v>
      </c>
      <c r="B25" s="42">
        <v>0.375</v>
      </c>
      <c r="C25" s="43">
        <v>2013</v>
      </c>
      <c r="D25" s="43">
        <v>7</v>
      </c>
      <c r="E25" s="43">
        <v>23</v>
      </c>
      <c r="F25" s="116">
        <v>143919</v>
      </c>
      <c r="G25" s="43">
        <v>0</v>
      </c>
      <c r="H25" s="116">
        <v>653856</v>
      </c>
      <c r="I25" s="43">
        <v>0</v>
      </c>
      <c r="J25" s="43">
        <v>0</v>
      </c>
      <c r="K25" s="43">
        <v>0</v>
      </c>
      <c r="L25" s="116">
        <v>310.02</v>
      </c>
      <c r="M25" s="116">
        <v>30.2</v>
      </c>
      <c r="N25" s="44">
        <v>0</v>
      </c>
      <c r="O25" s="117">
        <v>2000</v>
      </c>
      <c r="P25" s="31">
        <f t="shared" si="2"/>
        <v>2000</v>
      </c>
      <c r="Q25" s="1">
        <v>23</v>
      </c>
      <c r="R25" s="118">
        <f t="shared" si="3"/>
        <v>8610.6551203544477</v>
      </c>
      <c r="S25" s="119">
        <f>'[1]Mérida oeste'!F28*1000000</f>
        <v>36051.090857900002</v>
      </c>
      <c r="T25" s="120">
        <f t="shared" si="9"/>
        <v>967.57931587422922</v>
      </c>
      <c r="V25" s="53">
        <f t="shared" si="4"/>
        <v>2000</v>
      </c>
      <c r="W25" s="54">
        <f t="shared" si="10"/>
        <v>70629.34</v>
      </c>
      <c r="Y25" s="122">
        <f t="shared" si="11"/>
        <v>17.221310240708895</v>
      </c>
      <c r="Z25" s="119">
        <f t="shared" si="12"/>
        <v>72.1021817158</v>
      </c>
      <c r="AA25" s="120">
        <f t="shared" si="13"/>
        <v>68.339488477848334</v>
      </c>
      <c r="AE25" s="2" t="str">
        <f t="shared" si="5"/>
        <v>143919</v>
      </c>
      <c r="AF25" s="45">
        <v>5</v>
      </c>
      <c r="AG25" s="46">
        <v>23</v>
      </c>
      <c r="AH25" s="47">
        <v>143919</v>
      </c>
      <c r="AI25" s="48">
        <f t="shared" si="0"/>
        <v>143919</v>
      </c>
      <c r="AJ25" s="49">
        <f t="shared" si="6"/>
        <v>0</v>
      </c>
      <c r="AK25" s="3"/>
      <c r="AL25" s="37">
        <f t="shared" si="7"/>
        <v>2002</v>
      </c>
      <c r="AM25" s="50">
        <f t="shared" si="7"/>
        <v>2000</v>
      </c>
      <c r="AN25" s="51">
        <f t="shared" si="8"/>
        <v>-2</v>
      </c>
      <c r="AO25" s="52">
        <f t="shared" si="1"/>
        <v>-1E-3</v>
      </c>
      <c r="AP25" s="3"/>
    </row>
    <row r="26" spans="1:42" x14ac:dyDescent="0.2">
      <c r="A26" s="41">
        <v>5</v>
      </c>
      <c r="B26" s="42">
        <v>0.375</v>
      </c>
      <c r="C26" s="43">
        <v>2013</v>
      </c>
      <c r="D26" s="43">
        <v>7</v>
      </c>
      <c r="E26" s="43">
        <v>24</v>
      </c>
      <c r="F26" s="116">
        <v>145919</v>
      </c>
      <c r="G26" s="43">
        <v>0</v>
      </c>
      <c r="H26" s="116">
        <v>653948</v>
      </c>
      <c r="I26" s="43">
        <v>0</v>
      </c>
      <c r="J26" s="43">
        <v>0</v>
      </c>
      <c r="K26" s="43">
        <v>0</v>
      </c>
      <c r="L26" s="116">
        <v>310.14490000000001</v>
      </c>
      <c r="M26" s="116">
        <v>30.5</v>
      </c>
      <c r="N26" s="44">
        <v>0</v>
      </c>
      <c r="O26" s="117">
        <v>3785</v>
      </c>
      <c r="P26" s="31">
        <f t="shared" si="2"/>
        <v>3785</v>
      </c>
      <c r="Q26" s="1">
        <v>24</v>
      </c>
      <c r="R26" s="118">
        <f t="shared" si="3"/>
        <v>8612.9688494554302</v>
      </c>
      <c r="S26" s="119">
        <f>'[1]Mérida oeste'!F29*1000000</f>
        <v>36060.777978899998</v>
      </c>
      <c r="T26" s="120">
        <f t="shared" si="9"/>
        <v>967.83930961330668</v>
      </c>
      <c r="V26" s="53">
        <f t="shared" si="4"/>
        <v>3785</v>
      </c>
      <c r="W26" s="54">
        <f t="shared" si="10"/>
        <v>133666.02595000001</v>
      </c>
      <c r="Y26" s="122">
        <f t="shared" si="11"/>
        <v>32.600087095188805</v>
      </c>
      <c r="Z26" s="119">
        <f t="shared" si="12"/>
        <v>136.4900446501365</v>
      </c>
      <c r="AA26" s="120">
        <f t="shared" si="13"/>
        <v>129.36723427420236</v>
      </c>
      <c r="AE26" s="2" t="str">
        <f t="shared" si="5"/>
        <v>145919</v>
      </c>
      <c r="AF26" s="45">
        <v>5</v>
      </c>
      <c r="AG26" s="46">
        <v>24</v>
      </c>
      <c r="AH26" s="47">
        <v>145921</v>
      </c>
      <c r="AI26" s="48">
        <f t="shared" si="0"/>
        <v>145919</v>
      </c>
      <c r="AJ26" s="49">
        <f t="shared" si="6"/>
        <v>-2</v>
      </c>
      <c r="AK26" s="3"/>
      <c r="AL26" s="37">
        <f t="shared" si="7"/>
        <v>3785</v>
      </c>
      <c r="AM26" s="50">
        <f t="shared" si="7"/>
        <v>3785</v>
      </c>
      <c r="AN26" s="51">
        <f t="shared" si="8"/>
        <v>0</v>
      </c>
      <c r="AO26" s="52">
        <f t="shared" si="1"/>
        <v>0</v>
      </c>
      <c r="AP26" s="3"/>
    </row>
    <row r="27" spans="1:42" x14ac:dyDescent="0.2">
      <c r="A27" s="41">
        <v>5</v>
      </c>
      <c r="B27" s="42">
        <v>0.375</v>
      </c>
      <c r="C27" s="43">
        <v>2013</v>
      </c>
      <c r="D27" s="43">
        <v>7</v>
      </c>
      <c r="E27" s="43">
        <v>25</v>
      </c>
      <c r="F27" s="116">
        <v>149704</v>
      </c>
      <c r="G27" s="43">
        <v>0</v>
      </c>
      <c r="H27" s="116">
        <v>654122</v>
      </c>
      <c r="I27" s="43">
        <v>0</v>
      </c>
      <c r="J27" s="43">
        <v>0</v>
      </c>
      <c r="K27" s="43">
        <v>0</v>
      </c>
      <c r="L27" s="116">
        <v>310.21620000000001</v>
      </c>
      <c r="M27" s="116">
        <v>31.4</v>
      </c>
      <c r="N27" s="44">
        <v>0</v>
      </c>
      <c r="O27" s="117">
        <v>3700</v>
      </c>
      <c r="P27" s="31">
        <f t="shared" si="2"/>
        <v>3700</v>
      </c>
      <c r="Q27" s="1">
        <v>25</v>
      </c>
      <c r="R27" s="118">
        <f t="shared" si="3"/>
        <v>8332.0125941052847</v>
      </c>
      <c r="S27" s="119">
        <f>'[1]Mérida oeste'!F30*1000000</f>
        <v>34884.470329000003</v>
      </c>
      <c r="T27" s="120">
        <f t="shared" si="9"/>
        <v>936.26825519961085</v>
      </c>
      <c r="V27" s="53">
        <f t="shared" si="4"/>
        <v>3700</v>
      </c>
      <c r="W27" s="54">
        <f t="shared" si="10"/>
        <v>130664.27899999999</v>
      </c>
      <c r="Y27" s="122">
        <f t="shared" si="11"/>
        <v>30.828446598189554</v>
      </c>
      <c r="Z27" s="119">
        <f t="shared" si="12"/>
        <v>129.0725402173</v>
      </c>
      <c r="AA27" s="120">
        <f t="shared" si="13"/>
        <v>122.33681651624514</v>
      </c>
      <c r="AE27" s="2" t="str">
        <f t="shared" si="5"/>
        <v>149704</v>
      </c>
      <c r="AF27" s="45">
        <v>5</v>
      </c>
      <c r="AG27" s="46">
        <v>25</v>
      </c>
      <c r="AH27" s="47">
        <v>149706</v>
      </c>
      <c r="AI27" s="48">
        <f t="shared" si="0"/>
        <v>149704</v>
      </c>
      <c r="AJ27" s="49">
        <f t="shared" si="6"/>
        <v>-2</v>
      </c>
      <c r="AK27" s="3"/>
      <c r="AL27" s="37">
        <f t="shared" si="7"/>
        <v>3702</v>
      </c>
      <c r="AM27" s="50">
        <f t="shared" si="7"/>
        <v>3700</v>
      </c>
      <c r="AN27" s="51">
        <f t="shared" si="8"/>
        <v>-2</v>
      </c>
      <c r="AO27" s="52">
        <f t="shared" si="1"/>
        <v>-5.4054054054054055E-4</v>
      </c>
      <c r="AP27" s="3"/>
    </row>
    <row r="28" spans="1:42" x14ac:dyDescent="0.2">
      <c r="A28" s="41">
        <v>5</v>
      </c>
      <c r="B28" s="42">
        <v>0.375</v>
      </c>
      <c r="C28" s="43">
        <v>2013</v>
      </c>
      <c r="D28" s="43">
        <v>7</v>
      </c>
      <c r="E28" s="43">
        <v>26</v>
      </c>
      <c r="F28" s="116">
        <v>153404</v>
      </c>
      <c r="G28" s="43">
        <v>0</v>
      </c>
      <c r="H28" s="116">
        <v>654292</v>
      </c>
      <c r="I28" s="43">
        <v>0</v>
      </c>
      <c r="J28" s="43">
        <v>0</v>
      </c>
      <c r="K28" s="43">
        <v>0</v>
      </c>
      <c r="L28" s="116">
        <v>310.22519999999997</v>
      </c>
      <c r="M28" s="116">
        <v>31.6</v>
      </c>
      <c r="N28" s="44">
        <v>0</v>
      </c>
      <c r="O28" s="117">
        <v>3418</v>
      </c>
      <c r="P28" s="31">
        <f t="shared" si="2"/>
        <v>3418</v>
      </c>
      <c r="Q28" s="1">
        <v>26</v>
      </c>
      <c r="R28" s="118">
        <f t="shared" si="3"/>
        <v>8296.7126686490883</v>
      </c>
      <c r="S28" s="119">
        <f>'[1]Mérida oeste'!F31*1000000</f>
        <v>34736.6766011</v>
      </c>
      <c r="T28" s="120">
        <f t="shared" si="9"/>
        <v>932.30160257609805</v>
      </c>
      <c r="V28" s="53">
        <f t="shared" si="4"/>
        <v>3418</v>
      </c>
      <c r="W28" s="54">
        <f t="shared" si="10"/>
        <v>120705.54205999999</v>
      </c>
      <c r="Y28" s="122">
        <f t="shared" si="11"/>
        <v>28.358163901442584</v>
      </c>
      <c r="Z28" s="119">
        <f t="shared" si="12"/>
        <v>118.7299606225598</v>
      </c>
      <c r="AA28" s="120">
        <f t="shared" si="13"/>
        <v>112.5339703023546</v>
      </c>
      <c r="AE28" s="2" t="str">
        <f t="shared" si="5"/>
        <v>153404</v>
      </c>
      <c r="AF28" s="45">
        <v>5</v>
      </c>
      <c r="AG28" s="46">
        <v>26</v>
      </c>
      <c r="AH28" s="47">
        <v>153408</v>
      </c>
      <c r="AI28" s="48">
        <f t="shared" si="0"/>
        <v>153404</v>
      </c>
      <c r="AJ28" s="49">
        <f t="shared" si="6"/>
        <v>-4</v>
      </c>
      <c r="AK28" s="3"/>
      <c r="AL28" s="37">
        <f t="shared" si="7"/>
        <v>3419</v>
      </c>
      <c r="AM28" s="50">
        <f t="shared" si="7"/>
        <v>3418</v>
      </c>
      <c r="AN28" s="51">
        <f t="shared" si="8"/>
        <v>-1</v>
      </c>
      <c r="AO28" s="52">
        <f t="shared" si="1"/>
        <v>-2.9256875365710943E-4</v>
      </c>
      <c r="AP28" s="3"/>
    </row>
    <row r="29" spans="1:42" x14ac:dyDescent="0.2">
      <c r="A29" s="41">
        <v>5</v>
      </c>
      <c r="B29" s="42">
        <v>0.375</v>
      </c>
      <c r="C29" s="43">
        <v>2013</v>
      </c>
      <c r="D29" s="43">
        <v>7</v>
      </c>
      <c r="E29" s="43">
        <v>27</v>
      </c>
      <c r="F29" s="116">
        <v>156822</v>
      </c>
      <c r="G29" s="43">
        <v>0</v>
      </c>
      <c r="H29" s="116">
        <v>654449</v>
      </c>
      <c r="I29" s="43">
        <v>0</v>
      </c>
      <c r="J29" s="43">
        <v>0</v>
      </c>
      <c r="K29" s="43">
        <v>0</v>
      </c>
      <c r="L29" s="116">
        <v>311.05849999999998</v>
      </c>
      <c r="M29" s="116">
        <v>32</v>
      </c>
      <c r="N29" s="44">
        <v>0</v>
      </c>
      <c r="O29" s="117">
        <v>4082</v>
      </c>
      <c r="P29" s="31">
        <f t="shared" si="2"/>
        <v>4082</v>
      </c>
      <c r="Q29" s="1">
        <v>27</v>
      </c>
      <c r="R29" s="118">
        <f t="shared" si="3"/>
        <v>8222.6063670106068</v>
      </c>
      <c r="S29" s="119">
        <f>'[1]Mérida oeste'!F32*1000000</f>
        <v>34426.408337400004</v>
      </c>
      <c r="T29" s="120">
        <f t="shared" si="9"/>
        <v>923.97427746098185</v>
      </c>
      <c r="V29" s="53">
        <f t="shared" si="4"/>
        <v>4082</v>
      </c>
      <c r="W29" s="54">
        <f t="shared" si="10"/>
        <v>144154.48293999999</v>
      </c>
      <c r="Y29" s="122">
        <f t="shared" si="11"/>
        <v>33.564679190137298</v>
      </c>
      <c r="Z29" s="119">
        <f t="shared" si="12"/>
        <v>140.52859883326681</v>
      </c>
      <c r="AA29" s="120">
        <f t="shared" si="13"/>
        <v>133.19503421724792</v>
      </c>
      <c r="AE29" s="2" t="str">
        <f t="shared" si="5"/>
        <v>156822</v>
      </c>
      <c r="AF29" s="45">
        <v>5</v>
      </c>
      <c r="AG29" s="46">
        <v>27</v>
      </c>
      <c r="AH29" s="47">
        <v>156827</v>
      </c>
      <c r="AI29" s="48">
        <f t="shared" si="0"/>
        <v>156822</v>
      </c>
      <c r="AJ29" s="49">
        <f t="shared" si="6"/>
        <v>-5</v>
      </c>
      <c r="AK29" s="3"/>
      <c r="AL29" s="37">
        <f t="shared" si="7"/>
        <v>4082</v>
      </c>
      <c r="AM29" s="50">
        <f t="shared" si="7"/>
        <v>4082</v>
      </c>
      <c r="AN29" s="51">
        <f t="shared" si="8"/>
        <v>0</v>
      </c>
      <c r="AO29" s="52">
        <f t="shared" si="1"/>
        <v>0</v>
      </c>
      <c r="AP29" s="3"/>
    </row>
    <row r="30" spans="1:42" x14ac:dyDescent="0.2">
      <c r="A30" s="41">
        <v>5</v>
      </c>
      <c r="B30" s="42">
        <v>0.375</v>
      </c>
      <c r="C30" s="43">
        <v>2013</v>
      </c>
      <c r="D30" s="43">
        <v>7</v>
      </c>
      <c r="E30" s="43">
        <v>28</v>
      </c>
      <c r="F30" s="116">
        <v>160904</v>
      </c>
      <c r="G30" s="43">
        <v>0</v>
      </c>
      <c r="H30" s="116">
        <v>654636</v>
      </c>
      <c r="I30" s="43">
        <v>0</v>
      </c>
      <c r="J30" s="43">
        <v>0</v>
      </c>
      <c r="K30" s="43">
        <v>0</v>
      </c>
      <c r="L30" s="116">
        <v>311.49110000000002</v>
      </c>
      <c r="M30" s="116">
        <v>32</v>
      </c>
      <c r="N30" s="44">
        <v>0</v>
      </c>
      <c r="O30" s="117">
        <v>3962</v>
      </c>
      <c r="P30" s="31">
        <f t="shared" si="2"/>
        <v>3962</v>
      </c>
      <c r="Q30" s="1">
        <v>28</v>
      </c>
      <c r="R30" s="118">
        <f t="shared" si="3"/>
        <v>8198.62819743002</v>
      </c>
      <c r="S30" s="119">
        <f>'[1]Mérida oeste'!F33*1000000</f>
        <v>34326.016537000003</v>
      </c>
      <c r="T30" s="120">
        <f t="shared" si="9"/>
        <v>921.27985054521127</v>
      </c>
      <c r="V30" s="53">
        <f t="shared" si="4"/>
        <v>3962</v>
      </c>
      <c r="W30" s="54">
        <f t="shared" si="10"/>
        <v>139916.72253999999</v>
      </c>
      <c r="Y30" s="122">
        <f t="shared" si="11"/>
        <v>32.482964918217739</v>
      </c>
      <c r="Z30" s="119">
        <f t="shared" si="12"/>
        <v>135.999677519594</v>
      </c>
      <c r="AA30" s="120">
        <f t="shared" si="13"/>
        <v>128.90245723042699</v>
      </c>
      <c r="AE30" s="2" t="str">
        <f t="shared" si="5"/>
        <v>160904</v>
      </c>
      <c r="AF30" s="45">
        <v>5</v>
      </c>
      <c r="AG30" s="46">
        <v>28</v>
      </c>
      <c r="AH30" s="47">
        <v>160909</v>
      </c>
      <c r="AI30" s="48">
        <f t="shared" si="0"/>
        <v>160904</v>
      </c>
      <c r="AJ30" s="49">
        <f t="shared" si="6"/>
        <v>-5</v>
      </c>
      <c r="AK30" s="3"/>
      <c r="AL30" s="37">
        <f t="shared" si="7"/>
        <v>3961</v>
      </c>
      <c r="AM30" s="50">
        <f t="shared" si="7"/>
        <v>3962</v>
      </c>
      <c r="AN30" s="51">
        <f t="shared" si="8"/>
        <v>1</v>
      </c>
      <c r="AO30" s="52">
        <f t="shared" si="1"/>
        <v>2.5239777889954568E-4</v>
      </c>
      <c r="AP30" s="3"/>
    </row>
    <row r="31" spans="1:42" x14ac:dyDescent="0.2">
      <c r="A31" s="41">
        <v>5</v>
      </c>
      <c r="B31" s="42">
        <v>0.375</v>
      </c>
      <c r="C31" s="43">
        <v>2013</v>
      </c>
      <c r="D31" s="43">
        <v>7</v>
      </c>
      <c r="E31" s="43">
        <v>29</v>
      </c>
      <c r="F31" s="116">
        <v>164866</v>
      </c>
      <c r="G31" s="43">
        <v>0</v>
      </c>
      <c r="H31" s="116">
        <v>654818</v>
      </c>
      <c r="I31" s="43">
        <v>0</v>
      </c>
      <c r="J31" s="43">
        <v>0</v>
      </c>
      <c r="K31" s="43">
        <v>0</v>
      </c>
      <c r="L31" s="116">
        <v>311.815</v>
      </c>
      <c r="M31" s="116">
        <v>31.8</v>
      </c>
      <c r="N31" s="44">
        <v>0</v>
      </c>
      <c r="O31" s="117">
        <v>4045</v>
      </c>
      <c r="P31" s="31">
        <f t="shared" si="2"/>
        <v>4045</v>
      </c>
      <c r="Q31" s="1">
        <v>29</v>
      </c>
      <c r="R31" s="118">
        <f t="shared" si="3"/>
        <v>8401.1716620569405</v>
      </c>
      <c r="S31" s="119">
        <f>'[1]Mérida oeste'!F34*1000000</f>
        <v>35174.025514699999</v>
      </c>
      <c r="T31" s="120">
        <f t="shared" si="9"/>
        <v>944.03965966533838</v>
      </c>
      <c r="V31" s="53">
        <f t="shared" si="4"/>
        <v>4045</v>
      </c>
      <c r="W31" s="54">
        <f t="shared" si="10"/>
        <v>142847.84015</v>
      </c>
      <c r="Y31" s="122">
        <f t="shared" si="11"/>
        <v>33.982739373020323</v>
      </c>
      <c r="Z31" s="119">
        <f t="shared" si="12"/>
        <v>142.27893320696148</v>
      </c>
      <c r="AA31" s="120">
        <f t="shared" si="13"/>
        <v>134.85402639913465</v>
      </c>
      <c r="AE31" s="2" t="str">
        <f t="shared" si="5"/>
        <v>164866</v>
      </c>
      <c r="AF31" s="45">
        <v>5</v>
      </c>
      <c r="AG31" s="46">
        <v>29</v>
      </c>
      <c r="AH31" s="47">
        <v>164870</v>
      </c>
      <c r="AI31" s="48">
        <f t="shared" si="0"/>
        <v>164866</v>
      </c>
      <c r="AJ31" s="49">
        <f t="shared" si="6"/>
        <v>-4</v>
      </c>
      <c r="AK31" s="3"/>
      <c r="AL31" s="37">
        <f t="shared" si="7"/>
        <v>-164870</v>
      </c>
      <c r="AM31" s="50">
        <f t="shared" si="7"/>
        <v>4045</v>
      </c>
      <c r="AN31" s="51">
        <f t="shared" si="8"/>
        <v>168915</v>
      </c>
      <c r="AO31" s="52">
        <f t="shared" si="1"/>
        <v>41.758961681087762</v>
      </c>
      <c r="AP31" s="3"/>
    </row>
    <row r="32" spans="1:42" x14ac:dyDescent="0.2">
      <c r="A32" s="41">
        <v>5</v>
      </c>
      <c r="B32" s="42">
        <v>0.375</v>
      </c>
      <c r="C32" s="43">
        <v>2013</v>
      </c>
      <c r="D32" s="43">
        <v>7</v>
      </c>
      <c r="E32" s="43">
        <v>30</v>
      </c>
      <c r="F32" s="116">
        <v>168911</v>
      </c>
      <c r="G32" s="43">
        <v>0</v>
      </c>
      <c r="H32" s="116">
        <v>655002</v>
      </c>
      <c r="I32" s="43">
        <v>0</v>
      </c>
      <c r="J32" s="43">
        <v>0</v>
      </c>
      <c r="K32" s="43">
        <v>0</v>
      </c>
      <c r="L32" s="116">
        <v>312.60759999999999</v>
      </c>
      <c r="M32" s="116">
        <v>31.5</v>
      </c>
      <c r="N32" s="44">
        <v>0</v>
      </c>
      <c r="O32" s="117">
        <v>3970</v>
      </c>
      <c r="P32" s="31">
        <f t="shared" si="2"/>
        <v>3970</v>
      </c>
      <c r="Q32" s="1">
        <v>30</v>
      </c>
      <c r="R32" s="118">
        <f t="shared" si="3"/>
        <v>8313.9545914063256</v>
      </c>
      <c r="S32" s="119">
        <f>'[1]Mérida oeste'!F35*1000000</f>
        <v>34808.865083299999</v>
      </c>
      <c r="T32" s="120">
        <f t="shared" si="9"/>
        <v>934.23907743632878</v>
      </c>
      <c r="V32" s="53">
        <f t="shared" si="4"/>
        <v>3970</v>
      </c>
      <c r="W32" s="54">
        <f t="shared" si="10"/>
        <v>140199.23989999999</v>
      </c>
      <c r="Y32" s="122">
        <f t="shared" si="11"/>
        <v>33.006399727883114</v>
      </c>
      <c r="Z32" s="119">
        <f t="shared" si="12"/>
        <v>138.19119438070101</v>
      </c>
      <c r="AA32" s="120">
        <f t="shared" si="13"/>
        <v>130.97960854145052</v>
      </c>
      <c r="AE32" s="2" t="str">
        <f t="shared" si="5"/>
        <v>168911</v>
      </c>
      <c r="AF32" s="45"/>
      <c r="AG32" s="46"/>
      <c r="AH32" s="47"/>
      <c r="AI32" s="48">
        <f t="shared" si="0"/>
        <v>168911</v>
      </c>
      <c r="AJ32" s="49">
        <f t="shared" si="6"/>
        <v>168911</v>
      </c>
      <c r="AK32" s="3"/>
      <c r="AL32" s="37">
        <f t="shared" si="7"/>
        <v>0</v>
      </c>
      <c r="AM32" s="50">
        <f t="shared" si="7"/>
        <v>3970</v>
      </c>
      <c r="AN32" s="51">
        <f t="shared" si="8"/>
        <v>3970</v>
      </c>
      <c r="AO32" s="52">
        <f t="shared" si="1"/>
        <v>1</v>
      </c>
      <c r="AP32" s="3"/>
    </row>
    <row r="33" spans="1:42" ht="13.5" thickBot="1" x14ac:dyDescent="0.25">
      <c r="A33" s="41">
        <v>5</v>
      </c>
      <c r="B33" s="42">
        <v>0.375</v>
      </c>
      <c r="C33" s="43">
        <v>2013</v>
      </c>
      <c r="D33" s="43">
        <v>7</v>
      </c>
      <c r="E33" s="43">
        <v>31</v>
      </c>
      <c r="F33" s="116">
        <v>172881</v>
      </c>
      <c r="G33" s="43">
        <v>0</v>
      </c>
      <c r="H33" s="116">
        <v>655183</v>
      </c>
      <c r="I33" s="43">
        <v>0</v>
      </c>
      <c r="J33" s="43">
        <v>0</v>
      </c>
      <c r="K33" s="43">
        <v>0</v>
      </c>
      <c r="L33" s="116">
        <v>312.4778</v>
      </c>
      <c r="M33" s="116">
        <v>31.5</v>
      </c>
      <c r="N33" s="44">
        <v>0</v>
      </c>
      <c r="O33" s="117">
        <v>4063</v>
      </c>
      <c r="P33" s="31">
        <f t="shared" si="2"/>
        <v>4063</v>
      </c>
      <c r="Q33" s="1">
        <v>31</v>
      </c>
      <c r="R33" s="123">
        <f t="shared" si="3"/>
        <v>8347.9132988201018</v>
      </c>
      <c r="S33" s="124">
        <f>'[1]Mérida oeste'!F36*1000000</f>
        <v>34951.043399499998</v>
      </c>
      <c r="T33" s="125">
        <f t="shared" si="9"/>
        <v>938.05501738841485</v>
      </c>
      <c r="V33" s="55">
        <f t="shared" si="4"/>
        <v>4063</v>
      </c>
      <c r="W33" s="56">
        <f t="shared" si="10"/>
        <v>143483.50420999998</v>
      </c>
      <c r="Y33" s="122">
        <f t="shared" si="11"/>
        <v>33.91757173310608</v>
      </c>
      <c r="Z33" s="119">
        <f t="shared" si="12"/>
        <v>142.0060893321685</v>
      </c>
      <c r="AA33" s="120">
        <f t="shared" si="13"/>
        <v>134.59542103666223</v>
      </c>
      <c r="AE33" s="2" t="str">
        <f t="shared" si="5"/>
        <v>172881</v>
      </c>
      <c r="AF33" s="45"/>
      <c r="AG33" s="46"/>
      <c r="AH33" s="47"/>
      <c r="AI33" s="48">
        <f t="shared" si="0"/>
        <v>172881</v>
      </c>
      <c r="AJ33" s="49">
        <f t="shared" si="6"/>
        <v>172881</v>
      </c>
      <c r="AK33" s="3"/>
      <c r="AL33" s="37">
        <f t="shared" si="7"/>
        <v>0</v>
      </c>
      <c r="AM33" s="57">
        <f t="shared" si="7"/>
        <v>4063</v>
      </c>
      <c r="AN33" s="51">
        <f t="shared" si="8"/>
        <v>4063</v>
      </c>
      <c r="AO33" s="52">
        <f t="shared" si="1"/>
        <v>1</v>
      </c>
      <c r="AP33" s="3"/>
    </row>
    <row r="34" spans="1:42" ht="13.5" thickBot="1" x14ac:dyDescent="0.25">
      <c r="A34" s="58">
        <v>5</v>
      </c>
      <c r="B34" s="59">
        <v>0.375</v>
      </c>
      <c r="C34" s="60">
        <v>2013</v>
      </c>
      <c r="D34" s="60">
        <v>8</v>
      </c>
      <c r="E34" s="60">
        <v>1</v>
      </c>
      <c r="F34" s="126">
        <v>176944</v>
      </c>
      <c r="G34" s="60">
        <v>0</v>
      </c>
      <c r="H34" s="126">
        <v>655369</v>
      </c>
      <c r="I34" s="60">
        <v>0</v>
      </c>
      <c r="J34" s="60">
        <v>0</v>
      </c>
      <c r="K34" s="60">
        <v>0</v>
      </c>
      <c r="L34" s="126">
        <v>312.29739999999998</v>
      </c>
      <c r="M34" s="126">
        <v>31.5</v>
      </c>
      <c r="N34" s="61">
        <v>0</v>
      </c>
      <c r="O34" s="127">
        <v>0</v>
      </c>
      <c r="R34" s="62"/>
      <c r="S34" s="128"/>
      <c r="T34" s="129"/>
      <c r="V34" s="63"/>
      <c r="W34" s="64"/>
      <c r="Y34" s="130"/>
      <c r="Z34" s="131"/>
      <c r="AA34" s="132"/>
      <c r="AE34" s="2" t="str">
        <f t="shared" si="5"/>
        <v>176944</v>
      </c>
      <c r="AF34" s="65"/>
      <c r="AG34" s="66"/>
      <c r="AH34" s="67"/>
      <c r="AI34" s="68">
        <f t="shared" si="0"/>
        <v>176944</v>
      </c>
      <c r="AJ34" s="69">
        <f t="shared" si="6"/>
        <v>176944</v>
      </c>
      <c r="AK34" s="3"/>
      <c r="AL34" s="70"/>
      <c r="AM34" s="71"/>
      <c r="AN34" s="72"/>
      <c r="AO34" s="72"/>
      <c r="AP34" s="3"/>
    </row>
    <row r="35" spans="1:42" ht="13.5" thickBot="1" x14ac:dyDescent="0.25">
      <c r="AE35" s="2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</row>
    <row r="36" spans="1:42" ht="13.5" thickBot="1" x14ac:dyDescent="0.25">
      <c r="D36" s="73" t="s">
        <v>33</v>
      </c>
      <c r="E36" s="74">
        <f>COUNT(E3:E34)</f>
        <v>32</v>
      </c>
      <c r="K36" s="73" t="s">
        <v>34</v>
      </c>
      <c r="L36" s="133">
        <f>MAX(L3:L34)</f>
        <v>313.61380000000003</v>
      </c>
      <c r="M36" s="133">
        <f>MAX(M3:M34)</f>
        <v>32</v>
      </c>
      <c r="N36" s="73" t="s">
        <v>35</v>
      </c>
      <c r="O36" s="133">
        <f>SUM(O3:O33)</f>
        <v>104165</v>
      </c>
      <c r="Q36" s="73" t="s">
        <v>36</v>
      </c>
      <c r="R36" s="75">
        <f>AVERAGE(R3:R33)</f>
        <v>8297.4852006189958</v>
      </c>
      <c r="S36" s="75">
        <f>AVERAGE(S3:S33)</f>
        <v>34739.911037951621</v>
      </c>
      <c r="T36" s="76">
        <f>AVERAGE(T3:T33)</f>
        <v>932.38841199355682</v>
      </c>
      <c r="V36" s="77">
        <f>SUM(V3:V33)</f>
        <v>104165</v>
      </c>
      <c r="W36" s="78">
        <f>SUM(W3:W33)</f>
        <v>3678552.6005500001</v>
      </c>
      <c r="Y36" s="79">
        <f>SUM(Y3:Y33)</f>
        <v>863.73248516866943</v>
      </c>
      <c r="Z36" s="80">
        <f>SUM(Z3:Z33)</f>
        <v>3616.2751689041843</v>
      </c>
      <c r="AA36" s="81">
        <f>SUM(AA3:AA33)</f>
        <v>3427.5577986276271</v>
      </c>
      <c r="AE36" s="2"/>
      <c r="AF36" s="82" t="s">
        <v>37</v>
      </c>
      <c r="AG36" s="83">
        <f>COUNT(AG3:AG34)</f>
        <v>21</v>
      </c>
      <c r="AH36" s="3"/>
      <c r="AI36" s="3"/>
      <c r="AJ36" s="84">
        <f>SUM(AJ3:AJ33)</f>
        <v>1243410</v>
      </c>
      <c r="AK36" s="85" t="s">
        <v>38</v>
      </c>
      <c r="AL36" s="86"/>
      <c r="AM36" s="86"/>
      <c r="AN36" s="84">
        <f>SUM(AN3:AN33)</f>
        <v>176944</v>
      </c>
      <c r="AO36" s="87" t="s">
        <v>38</v>
      </c>
      <c r="AP36" s="3"/>
    </row>
    <row r="37" spans="1:42" ht="13.5" thickBot="1" x14ac:dyDescent="0.25">
      <c r="K37" s="73" t="s">
        <v>36</v>
      </c>
      <c r="L37" s="134">
        <f>AVERAGE(L3:L34)</f>
        <v>305.70417499999996</v>
      </c>
      <c r="M37" s="134">
        <f>AVERAGE(M3:M34)</f>
        <v>30.596875000000001</v>
      </c>
      <c r="N37" s="73" t="s">
        <v>39</v>
      </c>
      <c r="O37" s="135">
        <f>O36*35.31467</f>
        <v>3678552.6005500001</v>
      </c>
      <c r="R37" s="88" t="s">
        <v>40</v>
      </c>
      <c r="S37" s="88" t="s">
        <v>41</v>
      </c>
      <c r="T37" s="88" t="s">
        <v>42</v>
      </c>
      <c r="V37" s="89" t="s">
        <v>38</v>
      </c>
      <c r="W37" s="89" t="s">
        <v>38</v>
      </c>
      <c r="Y37" s="89" t="s">
        <v>38</v>
      </c>
      <c r="Z37" s="89" t="s">
        <v>38</v>
      </c>
      <c r="AA37" s="89" t="s">
        <v>38</v>
      </c>
      <c r="AE37" s="2"/>
      <c r="AF37" s="82" t="s">
        <v>43</v>
      </c>
      <c r="AG37" s="90">
        <f>COUNT(E3:E34)-COUNT(AG3:AG34)</f>
        <v>11</v>
      </c>
      <c r="AH37" s="3"/>
      <c r="AI37" s="3"/>
      <c r="AJ37" s="3"/>
      <c r="AK37" s="3"/>
      <c r="AL37" s="3"/>
      <c r="AM37" s="3"/>
      <c r="AN37" s="91">
        <f>IFERROR(AN36/SUM(AM3:AM33),"")</f>
        <v>1.6986895790332646</v>
      </c>
      <c r="AO37" s="87" t="s">
        <v>44</v>
      </c>
      <c r="AP37" s="3"/>
    </row>
    <row r="38" spans="1:42" ht="13.5" thickBot="1" x14ac:dyDescent="0.25">
      <c r="K38" s="73" t="s">
        <v>45</v>
      </c>
      <c r="L38" s="135">
        <f>MIN(L3:L34)</f>
        <v>184.57320000000001</v>
      </c>
      <c r="M38" s="135">
        <f>MIN(M3:M34)</f>
        <v>27.9</v>
      </c>
      <c r="V38" s="92" t="s">
        <v>35</v>
      </c>
      <c r="W38" s="92" t="s">
        <v>46</v>
      </c>
      <c r="Y38" s="92" t="s">
        <v>47</v>
      </c>
      <c r="Z38" s="92" t="s">
        <v>48</v>
      </c>
      <c r="AA38" s="92" t="s">
        <v>49</v>
      </c>
      <c r="AE38" s="2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</row>
    <row r="39" spans="1:42" ht="13.5" thickBot="1" x14ac:dyDescent="0.25">
      <c r="L39" s="93" t="s">
        <v>50</v>
      </c>
      <c r="M39" s="92" t="s">
        <v>51</v>
      </c>
      <c r="AE39" s="2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</row>
    <row r="40" spans="1:42" ht="13.5" thickBot="1" x14ac:dyDescent="0.25">
      <c r="AE40" s="2"/>
      <c r="AF40" s="82" t="s">
        <v>52</v>
      </c>
      <c r="AG40" s="83">
        <v>1</v>
      </c>
      <c r="AH40" s="3" t="s">
        <v>35</v>
      </c>
      <c r="AI40" s="3"/>
      <c r="AJ40" s="3"/>
      <c r="AK40" s="3"/>
      <c r="AL40" s="3"/>
      <c r="AM40" s="3"/>
      <c r="AN40" s="3"/>
      <c r="AO40" s="3"/>
      <c r="AP40" s="3"/>
    </row>
    <row r="41" spans="1:42" ht="13.5" thickBot="1" x14ac:dyDescent="0.25">
      <c r="AE41" s="2"/>
      <c r="AF41" s="82" t="s">
        <v>53</v>
      </c>
      <c r="AG41" s="94">
        <v>0.01</v>
      </c>
      <c r="AH41" s="3"/>
      <c r="AI41" s="3"/>
      <c r="AJ41" s="3"/>
      <c r="AK41" s="3"/>
      <c r="AL41" s="3"/>
      <c r="AM41" s="3"/>
      <c r="AN41" s="3"/>
      <c r="AO41" s="3"/>
      <c r="AP41" s="3"/>
    </row>
    <row r="42" spans="1:42" x14ac:dyDescent="0.2">
      <c r="AE42" s="2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</row>
    <row r="43" spans="1:42" x14ac:dyDescent="0.2">
      <c r="K43" s="95" t="s">
        <v>54</v>
      </c>
      <c r="L43" s="96">
        <v>0.1</v>
      </c>
      <c r="M43" s="95"/>
      <c r="AE43" s="2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</row>
    <row r="44" spans="1:42" x14ac:dyDescent="0.2">
      <c r="K44" s="97" t="s">
        <v>55</v>
      </c>
      <c r="L44" s="136">
        <f>L37*(1+$L$43)</f>
        <v>336.27459249999998</v>
      </c>
      <c r="M44" s="136">
        <f>M37*(1+$L$43)</f>
        <v>33.656562500000007</v>
      </c>
    </row>
    <row r="45" spans="1:42" x14ac:dyDescent="0.2">
      <c r="K45" s="97" t="s">
        <v>56</v>
      </c>
      <c r="L45" s="136">
        <f>L37*(1-$L$43)</f>
        <v>275.1337575</v>
      </c>
      <c r="M45" s="136">
        <f>M37*(1-$L$43)</f>
        <v>27.537187500000002</v>
      </c>
    </row>
    <row r="47" spans="1:42" x14ac:dyDescent="0.2">
      <c r="A47" s="73" t="s">
        <v>57</v>
      </c>
      <c r="B47" s="99" t="s">
        <v>58</v>
      </c>
    </row>
    <row r="48" spans="1:42" x14ac:dyDescent="0.2">
      <c r="A48" s="73" t="s">
        <v>59</v>
      </c>
      <c r="B48" s="100">
        <v>40582</v>
      </c>
    </row>
  </sheetData>
  <conditionalFormatting sqref="L3:L34">
    <cfRule type="cellIs" dxfId="95" priority="47" stopIfTrue="1" operator="lessThan">
      <formula>$L$45</formula>
    </cfRule>
    <cfRule type="cellIs" dxfId="94" priority="48" stopIfTrue="1" operator="greaterThan">
      <formula>$L$44</formula>
    </cfRule>
  </conditionalFormatting>
  <conditionalFormatting sqref="M3:M34">
    <cfRule type="cellIs" dxfId="93" priority="45" stopIfTrue="1" operator="lessThan">
      <formula>$M$45</formula>
    </cfRule>
    <cfRule type="cellIs" dxfId="92" priority="46" stopIfTrue="1" operator="greaterThan">
      <formula>$M$44</formula>
    </cfRule>
  </conditionalFormatting>
  <conditionalFormatting sqref="O3:O34">
    <cfRule type="cellIs" dxfId="91" priority="44" stopIfTrue="1" operator="lessThan">
      <formula>0</formula>
    </cfRule>
  </conditionalFormatting>
  <conditionalFormatting sqref="O3:O33">
    <cfRule type="cellIs" dxfId="90" priority="43" stopIfTrue="1" operator="lessThan">
      <formula>0</formula>
    </cfRule>
  </conditionalFormatting>
  <conditionalFormatting sqref="O3">
    <cfRule type="cellIs" dxfId="89" priority="42" stopIfTrue="1" operator="notEqual">
      <formula>$P$3</formula>
    </cfRule>
  </conditionalFormatting>
  <conditionalFormatting sqref="O4">
    <cfRule type="cellIs" dxfId="88" priority="41" stopIfTrue="1" operator="notEqual">
      <formula>P$4</formula>
    </cfRule>
  </conditionalFormatting>
  <conditionalFormatting sqref="O5">
    <cfRule type="cellIs" dxfId="87" priority="40" stopIfTrue="1" operator="notEqual">
      <formula>$P$5</formula>
    </cfRule>
  </conditionalFormatting>
  <conditionalFormatting sqref="O6">
    <cfRule type="cellIs" dxfId="86" priority="39" stopIfTrue="1" operator="notEqual">
      <formula>$P$6</formula>
    </cfRule>
  </conditionalFormatting>
  <conditionalFormatting sqref="O7">
    <cfRule type="cellIs" dxfId="85" priority="38" stopIfTrue="1" operator="notEqual">
      <formula>$P$7</formula>
    </cfRule>
  </conditionalFormatting>
  <conditionalFormatting sqref="O8">
    <cfRule type="cellIs" dxfId="84" priority="37" stopIfTrue="1" operator="notEqual">
      <formula>$P$8</formula>
    </cfRule>
  </conditionalFormatting>
  <conditionalFormatting sqref="O9">
    <cfRule type="cellIs" dxfId="83" priority="36" stopIfTrue="1" operator="notEqual">
      <formula>$P$9</formula>
    </cfRule>
  </conditionalFormatting>
  <conditionalFormatting sqref="O10">
    <cfRule type="cellIs" dxfId="82" priority="34" stopIfTrue="1" operator="notEqual">
      <formula>$P$10</formula>
    </cfRule>
    <cfRule type="cellIs" dxfId="81" priority="35" stopIfTrue="1" operator="greaterThan">
      <formula>$P$10</formula>
    </cfRule>
  </conditionalFormatting>
  <conditionalFormatting sqref="O11">
    <cfRule type="cellIs" dxfId="80" priority="32" stopIfTrue="1" operator="notEqual">
      <formula>$P$11</formula>
    </cfRule>
    <cfRule type="cellIs" dxfId="79" priority="33" stopIfTrue="1" operator="greaterThan">
      <formula>$P$11</formula>
    </cfRule>
  </conditionalFormatting>
  <conditionalFormatting sqref="O12">
    <cfRule type="cellIs" dxfId="78" priority="31" stopIfTrue="1" operator="notEqual">
      <formula>$P$12</formula>
    </cfRule>
  </conditionalFormatting>
  <conditionalFormatting sqref="O14">
    <cfRule type="cellIs" dxfId="77" priority="30" stopIfTrue="1" operator="notEqual">
      <formula>$P$14</formula>
    </cfRule>
  </conditionalFormatting>
  <conditionalFormatting sqref="O15">
    <cfRule type="cellIs" dxfId="76" priority="29" stopIfTrue="1" operator="notEqual">
      <formula>$P$15</formula>
    </cfRule>
  </conditionalFormatting>
  <conditionalFormatting sqref="O16">
    <cfRule type="cellIs" dxfId="75" priority="28" stopIfTrue="1" operator="notEqual">
      <formula>$P$16</formula>
    </cfRule>
  </conditionalFormatting>
  <conditionalFormatting sqref="O17">
    <cfRule type="cellIs" dxfId="74" priority="27" stopIfTrue="1" operator="notEqual">
      <formula>$P$17</formula>
    </cfRule>
  </conditionalFormatting>
  <conditionalFormatting sqref="O18">
    <cfRule type="cellIs" dxfId="73" priority="26" stopIfTrue="1" operator="notEqual">
      <formula>$P$18</formula>
    </cfRule>
  </conditionalFormatting>
  <conditionalFormatting sqref="O19">
    <cfRule type="cellIs" dxfId="72" priority="24" stopIfTrue="1" operator="notEqual">
      <formula>$P$19</formula>
    </cfRule>
    <cfRule type="cellIs" dxfId="71" priority="25" stopIfTrue="1" operator="greaterThan">
      <formula>$P$19</formula>
    </cfRule>
  </conditionalFormatting>
  <conditionalFormatting sqref="O20">
    <cfRule type="cellIs" dxfId="70" priority="22" stopIfTrue="1" operator="notEqual">
      <formula>$P$20</formula>
    </cfRule>
    <cfRule type="cellIs" dxfId="69" priority="23" stopIfTrue="1" operator="greaterThan">
      <formula>$P$20</formula>
    </cfRule>
  </conditionalFormatting>
  <conditionalFormatting sqref="O21">
    <cfRule type="cellIs" dxfId="68" priority="21" stopIfTrue="1" operator="notEqual">
      <formula>$P$21</formula>
    </cfRule>
  </conditionalFormatting>
  <conditionalFormatting sqref="O22">
    <cfRule type="cellIs" dxfId="67" priority="20" stopIfTrue="1" operator="notEqual">
      <formula>$P$22</formula>
    </cfRule>
  </conditionalFormatting>
  <conditionalFormatting sqref="O23">
    <cfRule type="cellIs" dxfId="66" priority="19" stopIfTrue="1" operator="notEqual">
      <formula>$P$23</formula>
    </cfRule>
  </conditionalFormatting>
  <conditionalFormatting sqref="O24">
    <cfRule type="cellIs" dxfId="65" priority="17" stopIfTrue="1" operator="notEqual">
      <formula>$P$24</formula>
    </cfRule>
    <cfRule type="cellIs" dxfId="64" priority="18" stopIfTrue="1" operator="greaterThan">
      <formula>$P$24</formula>
    </cfRule>
  </conditionalFormatting>
  <conditionalFormatting sqref="O25">
    <cfRule type="cellIs" dxfId="63" priority="15" stopIfTrue="1" operator="notEqual">
      <formula>$P$25</formula>
    </cfRule>
    <cfRule type="cellIs" dxfId="62" priority="16" stopIfTrue="1" operator="greaterThan">
      <formula>$P$25</formula>
    </cfRule>
  </conditionalFormatting>
  <conditionalFormatting sqref="O26">
    <cfRule type="cellIs" dxfId="61" priority="14" stopIfTrue="1" operator="notEqual">
      <formula>$P$26</formula>
    </cfRule>
  </conditionalFormatting>
  <conditionalFormatting sqref="O27">
    <cfRule type="cellIs" dxfId="60" priority="13" stopIfTrue="1" operator="notEqual">
      <formula>$P$27</formula>
    </cfRule>
  </conditionalFormatting>
  <conditionalFormatting sqref="O28">
    <cfRule type="cellIs" dxfId="59" priority="12" stopIfTrue="1" operator="notEqual">
      <formula>$P$28</formula>
    </cfRule>
  </conditionalFormatting>
  <conditionalFormatting sqref="O29">
    <cfRule type="cellIs" dxfId="58" priority="11" stopIfTrue="1" operator="notEqual">
      <formula>$P$29</formula>
    </cfRule>
  </conditionalFormatting>
  <conditionalFormatting sqref="O30">
    <cfRule type="cellIs" dxfId="57" priority="10" stopIfTrue="1" operator="notEqual">
      <formula>$P$30</formula>
    </cfRule>
  </conditionalFormatting>
  <conditionalFormatting sqref="O31">
    <cfRule type="cellIs" dxfId="56" priority="8" stopIfTrue="1" operator="notEqual">
      <formula>$P$31</formula>
    </cfRule>
    <cfRule type="cellIs" dxfId="55" priority="9" stopIfTrue="1" operator="greaterThan">
      <formula>$P$31</formula>
    </cfRule>
  </conditionalFormatting>
  <conditionalFormatting sqref="O32">
    <cfRule type="cellIs" dxfId="54" priority="6" stopIfTrue="1" operator="notEqual">
      <formula>$P$32</formula>
    </cfRule>
    <cfRule type="cellIs" dxfId="53" priority="7" stopIfTrue="1" operator="greaterThan">
      <formula>$P$32</formula>
    </cfRule>
  </conditionalFormatting>
  <conditionalFormatting sqref="O33">
    <cfRule type="cellIs" dxfId="52" priority="5" stopIfTrue="1" operator="notEqual">
      <formula>$P$33</formula>
    </cfRule>
  </conditionalFormatting>
  <conditionalFormatting sqref="O13">
    <cfRule type="cellIs" dxfId="51" priority="4" stopIfTrue="1" operator="notEqual">
      <formula>$P$13</formula>
    </cfRule>
  </conditionalFormatting>
  <conditionalFormatting sqref="AG3:AG34">
    <cfRule type="cellIs" dxfId="50" priority="3" stopIfTrue="1" operator="notEqual">
      <formula>E3</formula>
    </cfRule>
  </conditionalFormatting>
  <conditionalFormatting sqref="AH3:AH34">
    <cfRule type="cellIs" dxfId="49" priority="2" stopIfTrue="1" operator="notBetween">
      <formula>AI3+$AG$40</formula>
      <formula>AI3-$AG$40</formula>
    </cfRule>
  </conditionalFormatting>
  <conditionalFormatting sqref="AL3:AL33">
    <cfRule type="cellIs" dxfId="48" priority="1" stopIfTrue="1" operator="notBetween">
      <formula>AM3*(1+$AG$41)</formula>
      <formula>AM3*(1-$AG$41)</formula>
    </cfRule>
  </conditionalFormatting>
  <pageMargins left="0.75" right="0.75" top="1" bottom="1" header="0" footer="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48"/>
  <sheetViews>
    <sheetView topLeftCell="A5" zoomScale="85" workbookViewId="0">
      <selection sqref="A1:H1"/>
    </sheetView>
  </sheetViews>
  <sheetFormatPr baseColWidth="10" defaultRowHeight="12.75" x14ac:dyDescent="0.2"/>
  <cols>
    <col min="1" max="1" width="13.28515625" style="1" bestFit="1" customWidth="1"/>
    <col min="2" max="2" width="11.85546875" style="1" bestFit="1" customWidth="1"/>
    <col min="3" max="5" width="8.7109375" style="1" customWidth="1"/>
    <col min="6" max="6" width="13.7109375" style="1" bestFit="1" customWidth="1"/>
    <col min="7" max="7" width="11.7109375" style="1" customWidth="1"/>
    <col min="8" max="8" width="13.7109375" style="1" bestFit="1" customWidth="1"/>
    <col min="9" max="9" width="11.7109375" style="1" customWidth="1"/>
    <col min="10" max="10" width="16.42578125" style="1" customWidth="1"/>
    <col min="11" max="11" width="14.5703125" style="1" customWidth="1"/>
    <col min="12" max="12" width="11.7109375" style="1" customWidth="1"/>
    <col min="13" max="13" width="13.7109375" style="1" bestFit="1" customWidth="1"/>
    <col min="14" max="14" width="11.7109375" style="1" customWidth="1"/>
    <col min="15" max="15" width="15.28515625" style="1" bestFit="1" customWidth="1"/>
    <col min="16" max="16" width="7" style="1" customWidth="1"/>
    <col min="17" max="17" width="4.7109375" style="1" customWidth="1"/>
    <col min="18" max="18" width="11.42578125" style="1"/>
    <col min="19" max="19" width="11.85546875" style="1" bestFit="1" customWidth="1"/>
    <col min="20" max="20" width="11.42578125" style="1"/>
    <col min="21" max="21" width="4" style="1" customWidth="1"/>
    <col min="22" max="22" width="11.85546875" style="1" bestFit="1" customWidth="1"/>
    <col min="23" max="23" width="14.140625" style="1" bestFit="1" customWidth="1"/>
    <col min="24" max="24" width="3" style="1" customWidth="1"/>
    <col min="25" max="30" width="11.42578125" style="1"/>
    <col min="31" max="31" width="11.42578125" style="98"/>
    <col min="32" max="32" width="25.7109375" style="5" bestFit="1" customWidth="1"/>
    <col min="33" max="33" width="9.28515625" style="5" customWidth="1"/>
    <col min="34" max="35" width="14" style="5" customWidth="1"/>
    <col min="36" max="36" width="14.28515625" style="5" bestFit="1" customWidth="1"/>
    <col min="37" max="37" width="6.5703125" style="5" bestFit="1" customWidth="1"/>
    <col min="38" max="41" width="13.140625" style="5" customWidth="1"/>
    <col min="42" max="55" width="11.42578125" style="5"/>
    <col min="56" max="16384" width="11.42578125" style="1"/>
  </cols>
  <sheetData>
    <row r="1" spans="1:42" ht="13.5" thickBot="1" x14ac:dyDescent="0.25">
      <c r="AE1" s="2"/>
      <c r="AF1" s="3"/>
      <c r="AG1" s="3"/>
      <c r="AH1" s="3"/>
      <c r="AI1" s="3"/>
      <c r="AJ1" s="4" t="s">
        <v>0</v>
      </c>
      <c r="AK1" s="3"/>
      <c r="AL1" s="3"/>
      <c r="AM1" s="3"/>
      <c r="AN1" s="3"/>
      <c r="AO1" s="3"/>
      <c r="AP1" s="3"/>
    </row>
    <row r="2" spans="1:42" ht="51.75" thickBot="1" x14ac:dyDescent="0.25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11</v>
      </c>
      <c r="L2" s="8" t="s">
        <v>12</v>
      </c>
      <c r="M2" s="8" t="s">
        <v>13</v>
      </c>
      <c r="N2" s="9" t="s">
        <v>14</v>
      </c>
      <c r="O2" s="10" t="s">
        <v>15</v>
      </c>
      <c r="Q2" s="11" t="s">
        <v>16</v>
      </c>
      <c r="R2" s="12" t="s">
        <v>17</v>
      </c>
      <c r="S2" s="13" t="s">
        <v>18</v>
      </c>
      <c r="T2" s="14" t="s">
        <v>19</v>
      </c>
      <c r="V2" s="14" t="s">
        <v>20</v>
      </c>
      <c r="W2" s="15" t="s">
        <v>21</v>
      </c>
      <c r="Y2" s="16" t="s">
        <v>22</v>
      </c>
      <c r="Z2" s="17" t="s">
        <v>23</v>
      </c>
      <c r="AA2" s="18" t="s">
        <v>24</v>
      </c>
      <c r="AE2" s="2"/>
      <c r="AF2" s="19" t="s">
        <v>25</v>
      </c>
      <c r="AG2" s="20" t="s">
        <v>5</v>
      </c>
      <c r="AH2" s="21" t="s">
        <v>26</v>
      </c>
      <c r="AI2" s="22" t="s">
        <v>27</v>
      </c>
      <c r="AJ2" s="23" t="s">
        <v>28</v>
      </c>
      <c r="AK2" s="3"/>
      <c r="AL2" s="24" t="s">
        <v>29</v>
      </c>
      <c r="AM2" s="25" t="s">
        <v>30</v>
      </c>
      <c r="AN2" s="26" t="s">
        <v>31</v>
      </c>
      <c r="AO2" s="26" t="s">
        <v>32</v>
      </c>
      <c r="AP2" s="3"/>
    </row>
    <row r="3" spans="1:42" x14ac:dyDescent="0.2">
      <c r="A3" s="27">
        <v>1</v>
      </c>
      <c r="B3" s="28">
        <v>0.375</v>
      </c>
      <c r="C3" s="29">
        <v>2013</v>
      </c>
      <c r="D3" s="29">
        <v>7</v>
      </c>
      <c r="E3" s="29">
        <v>1</v>
      </c>
      <c r="F3" s="106">
        <v>43616</v>
      </c>
      <c r="G3" s="29">
        <v>0</v>
      </c>
      <c r="H3" s="106">
        <v>1284174</v>
      </c>
      <c r="I3" s="29">
        <v>0</v>
      </c>
      <c r="J3" s="29">
        <v>0</v>
      </c>
      <c r="K3" s="29">
        <v>0</v>
      </c>
      <c r="L3" s="106">
        <v>312.6703</v>
      </c>
      <c r="M3" s="106">
        <v>32.4</v>
      </c>
      <c r="N3" s="30">
        <v>0</v>
      </c>
      <c r="O3" s="107">
        <v>8112</v>
      </c>
      <c r="P3" s="31">
        <f>F4-F3</f>
        <v>8112</v>
      </c>
      <c r="Q3" s="1">
        <v>1</v>
      </c>
      <c r="R3" s="108">
        <f>S3/4.1868</f>
        <v>8293.8713305149522</v>
      </c>
      <c r="S3" s="109">
        <f>'[1]Mérida oeste'!F6*1000000</f>
        <v>34724.780486600001</v>
      </c>
      <c r="T3" s="110">
        <f>R3*0.11237</f>
        <v>931.98232140996515</v>
      </c>
      <c r="U3" s="111"/>
      <c r="V3" s="110">
        <f>O3</f>
        <v>8112</v>
      </c>
      <c r="W3" s="112">
        <f>V3*35.31467</f>
        <v>286472.60304000002</v>
      </c>
      <c r="X3" s="111"/>
      <c r="Y3" s="113">
        <f>V3*R3/1000000</f>
        <v>67.279884233137295</v>
      </c>
      <c r="Z3" s="114">
        <f>S3*V3/1000000</f>
        <v>281.68741930729919</v>
      </c>
      <c r="AA3" s="115">
        <f>W3*T3/1000000</f>
        <v>266.98740160157467</v>
      </c>
      <c r="AE3" s="2" t="str">
        <f>RIGHT(F3,6)</f>
        <v>43616</v>
      </c>
      <c r="AF3" s="32">
        <v>1</v>
      </c>
      <c r="AG3" s="33">
        <v>1</v>
      </c>
      <c r="AH3" s="34">
        <v>43625</v>
      </c>
      <c r="AI3" s="35">
        <f t="shared" ref="AI3:AI34" si="0">IFERROR(AE3*1,0)</f>
        <v>43616</v>
      </c>
      <c r="AJ3" s="36">
        <f>(AI3-AH3)</f>
        <v>-9</v>
      </c>
      <c r="AK3" s="3"/>
      <c r="AL3" s="37">
        <f>AH4-AH3</f>
        <v>8114</v>
      </c>
      <c r="AM3" s="38">
        <f>AI4-AI3</f>
        <v>8112</v>
      </c>
      <c r="AN3" s="39">
        <f>(AM3-AL3)</f>
        <v>-2</v>
      </c>
      <c r="AO3" s="40">
        <f t="shared" ref="AO3:AO33" si="1">IFERROR(AN3/AM3,"")</f>
        <v>-2.4654832347140041E-4</v>
      </c>
      <c r="AP3" s="3"/>
    </row>
    <row r="4" spans="1:42" x14ac:dyDescent="0.2">
      <c r="A4" s="41">
        <v>1</v>
      </c>
      <c r="B4" s="42">
        <v>0.375</v>
      </c>
      <c r="C4" s="43">
        <v>2013</v>
      </c>
      <c r="D4" s="43">
        <v>7</v>
      </c>
      <c r="E4" s="43">
        <v>2</v>
      </c>
      <c r="F4" s="116">
        <v>51728</v>
      </c>
      <c r="G4" s="43">
        <v>0</v>
      </c>
      <c r="H4" s="116">
        <v>1284547</v>
      </c>
      <c r="I4" s="43">
        <v>0</v>
      </c>
      <c r="J4" s="43">
        <v>0</v>
      </c>
      <c r="K4" s="43">
        <v>0</v>
      </c>
      <c r="L4" s="116">
        <v>311.01679999999999</v>
      </c>
      <c r="M4" s="116">
        <v>32.700000000000003</v>
      </c>
      <c r="N4" s="44">
        <v>0</v>
      </c>
      <c r="O4" s="117">
        <v>7507</v>
      </c>
      <c r="P4" s="31">
        <f t="shared" ref="P4:P33" si="2">F5-F4</f>
        <v>7507</v>
      </c>
      <c r="Q4" s="1">
        <v>2</v>
      </c>
      <c r="R4" s="118">
        <f t="shared" ref="R4:R33" si="3">S4/4.1868</f>
        <v>8318.1060230486291</v>
      </c>
      <c r="S4" s="119">
        <f>'[1]Mérida oeste'!F7*1000000</f>
        <v>34826.2462973</v>
      </c>
      <c r="T4" s="120">
        <f>R4*0.11237</f>
        <v>934.70557380997445</v>
      </c>
      <c r="U4" s="111"/>
      <c r="V4" s="120">
        <f t="shared" ref="V4:V33" si="4">O4</f>
        <v>7507</v>
      </c>
      <c r="W4" s="121">
        <f>V4*35.31467</f>
        <v>265107.22768999997</v>
      </c>
      <c r="X4" s="111"/>
      <c r="Y4" s="122">
        <f>V4*R4/1000000</f>
        <v>62.444021915026063</v>
      </c>
      <c r="Z4" s="119">
        <f>S4*V4/1000000</f>
        <v>261.44063095383109</v>
      </c>
      <c r="AA4" s="120">
        <f>W4*T4/1000000</f>
        <v>247.79720337915299</v>
      </c>
      <c r="AE4" s="2" t="str">
        <f t="shared" ref="AE4:AE34" si="5">RIGHT(F4,6)</f>
        <v>51728</v>
      </c>
      <c r="AF4" s="45">
        <v>1</v>
      </c>
      <c r="AG4" s="46">
        <v>2</v>
      </c>
      <c r="AH4" s="47">
        <v>51739</v>
      </c>
      <c r="AI4" s="48">
        <f t="shared" si="0"/>
        <v>51728</v>
      </c>
      <c r="AJ4" s="49">
        <f t="shared" ref="AJ4:AJ34" si="6">(AI4-AH4)</f>
        <v>-11</v>
      </c>
      <c r="AK4" s="3"/>
      <c r="AL4" s="37">
        <f t="shared" ref="AL4:AM33" si="7">AH5-AH4</f>
        <v>7505</v>
      </c>
      <c r="AM4" s="50">
        <f t="shared" si="7"/>
        <v>7507</v>
      </c>
      <c r="AN4" s="51">
        <f t="shared" ref="AN4:AN33" si="8">(AM4-AL4)</f>
        <v>2</v>
      </c>
      <c r="AO4" s="52">
        <f t="shared" si="1"/>
        <v>2.6641800985746639E-4</v>
      </c>
      <c r="AP4" s="3"/>
    </row>
    <row r="5" spans="1:42" x14ac:dyDescent="0.2">
      <c r="A5" s="41">
        <v>1</v>
      </c>
      <c r="B5" s="42">
        <v>0.375</v>
      </c>
      <c r="C5" s="43">
        <v>2013</v>
      </c>
      <c r="D5" s="43">
        <v>7</v>
      </c>
      <c r="E5" s="43">
        <v>3</v>
      </c>
      <c r="F5" s="116">
        <v>59235</v>
      </c>
      <c r="G5" s="43">
        <v>0</v>
      </c>
      <c r="H5" s="116">
        <v>1284892</v>
      </c>
      <c r="I5" s="43">
        <v>0</v>
      </c>
      <c r="J5" s="43">
        <v>0</v>
      </c>
      <c r="K5" s="43">
        <v>0</v>
      </c>
      <c r="L5" s="116">
        <v>310.41759999999999</v>
      </c>
      <c r="M5" s="116">
        <v>32.6</v>
      </c>
      <c r="N5" s="44">
        <v>0</v>
      </c>
      <c r="O5" s="117">
        <v>7589</v>
      </c>
      <c r="P5" s="31">
        <f t="shared" si="2"/>
        <v>7589</v>
      </c>
      <c r="Q5" s="1">
        <v>3</v>
      </c>
      <c r="R5" s="118">
        <f t="shared" si="3"/>
        <v>8216.2000506353324</v>
      </c>
      <c r="S5" s="119">
        <f>'[1]Mérida oeste'!F8*1000000</f>
        <v>34399.586372000005</v>
      </c>
      <c r="T5" s="120">
        <f t="shared" ref="T5:T33" si="9">R5*0.11237</f>
        <v>923.25439968989224</v>
      </c>
      <c r="U5" s="111"/>
      <c r="V5" s="120">
        <f t="shared" si="4"/>
        <v>7589</v>
      </c>
      <c r="W5" s="121">
        <f t="shared" ref="W5:W33" si="10">V5*35.31467</f>
        <v>268003.03062999999</v>
      </c>
      <c r="X5" s="111"/>
      <c r="Y5" s="122">
        <f t="shared" ref="Y5:Y33" si="11">V5*R5/1000000</f>
        <v>62.352742184271534</v>
      </c>
      <c r="Z5" s="119">
        <f t="shared" ref="Z5:Z33" si="12">S5*V5/1000000</f>
        <v>261.05846097710804</v>
      </c>
      <c r="AA5" s="120">
        <f t="shared" ref="AA5:AA33" si="13">W5*T5/1000000</f>
        <v>247.43497715937244</v>
      </c>
      <c r="AE5" s="2" t="str">
        <f t="shared" si="5"/>
        <v>59235</v>
      </c>
      <c r="AF5" s="45">
        <v>1</v>
      </c>
      <c r="AG5" s="46">
        <v>3</v>
      </c>
      <c r="AH5" s="47">
        <v>59244</v>
      </c>
      <c r="AI5" s="48">
        <f t="shared" si="0"/>
        <v>59235</v>
      </c>
      <c r="AJ5" s="49">
        <f t="shared" si="6"/>
        <v>-9</v>
      </c>
      <c r="AK5" s="3"/>
      <c r="AL5" s="37">
        <f t="shared" si="7"/>
        <v>7587</v>
      </c>
      <c r="AM5" s="50">
        <f t="shared" si="7"/>
        <v>7589</v>
      </c>
      <c r="AN5" s="51">
        <f t="shared" si="8"/>
        <v>2</v>
      </c>
      <c r="AO5" s="52">
        <f t="shared" si="1"/>
        <v>2.635393332454869E-4</v>
      </c>
      <c r="AP5" s="3"/>
    </row>
    <row r="6" spans="1:42" x14ac:dyDescent="0.2">
      <c r="A6" s="41">
        <v>1</v>
      </c>
      <c r="B6" s="42">
        <v>0.375</v>
      </c>
      <c r="C6" s="43">
        <v>2013</v>
      </c>
      <c r="D6" s="43">
        <v>7</v>
      </c>
      <c r="E6" s="43">
        <v>4</v>
      </c>
      <c r="F6" s="116">
        <v>66824</v>
      </c>
      <c r="G6" s="43">
        <v>0</v>
      </c>
      <c r="H6" s="116">
        <v>1285240</v>
      </c>
      <c r="I6" s="43">
        <v>0</v>
      </c>
      <c r="J6" s="43">
        <v>0</v>
      </c>
      <c r="K6" s="43">
        <v>0</v>
      </c>
      <c r="L6" s="116">
        <v>310.49419999999998</v>
      </c>
      <c r="M6" s="116">
        <v>31.2</v>
      </c>
      <c r="N6" s="44">
        <v>0</v>
      </c>
      <c r="O6" s="117">
        <v>7315</v>
      </c>
      <c r="P6" s="31">
        <f t="shared" si="2"/>
        <v>7315</v>
      </c>
      <c r="Q6" s="1">
        <v>4</v>
      </c>
      <c r="R6" s="118">
        <f t="shared" si="3"/>
        <v>8254.3208625441875</v>
      </c>
      <c r="S6" s="119">
        <f>'[1]Mérida oeste'!F9*1000000</f>
        <v>34559.1905873</v>
      </c>
      <c r="T6" s="120">
        <f t="shared" si="9"/>
        <v>927.53803532409029</v>
      </c>
      <c r="U6" s="111"/>
      <c r="V6" s="120">
        <f t="shared" si="4"/>
        <v>7315</v>
      </c>
      <c r="W6" s="121">
        <f t="shared" si="10"/>
        <v>258326.81104999999</v>
      </c>
      <c r="X6" s="111"/>
      <c r="Y6" s="122">
        <f t="shared" si="11"/>
        <v>60.380357109510733</v>
      </c>
      <c r="Z6" s="119">
        <f t="shared" si="12"/>
        <v>252.80047914609952</v>
      </c>
      <c r="AA6" s="120">
        <f t="shared" si="13"/>
        <v>239.60794279285449</v>
      </c>
      <c r="AE6" s="2" t="str">
        <f t="shared" si="5"/>
        <v>66824</v>
      </c>
      <c r="AF6" s="45">
        <v>1</v>
      </c>
      <c r="AG6" s="46">
        <v>4</v>
      </c>
      <c r="AH6" s="47">
        <v>66831</v>
      </c>
      <c r="AI6" s="48">
        <f t="shared" si="0"/>
        <v>66824</v>
      </c>
      <c r="AJ6" s="49">
        <f t="shared" si="6"/>
        <v>-7</v>
      </c>
      <c r="AK6" s="3"/>
      <c r="AL6" s="37">
        <f t="shared" si="7"/>
        <v>7321</v>
      </c>
      <c r="AM6" s="50">
        <f t="shared" si="7"/>
        <v>7315</v>
      </c>
      <c r="AN6" s="51">
        <f t="shared" si="8"/>
        <v>-6</v>
      </c>
      <c r="AO6" s="52">
        <f t="shared" si="1"/>
        <v>-8.2023239917976764E-4</v>
      </c>
      <c r="AP6" s="3"/>
    </row>
    <row r="7" spans="1:42" x14ac:dyDescent="0.2">
      <c r="A7" s="41">
        <v>1</v>
      </c>
      <c r="B7" s="42">
        <v>0.375</v>
      </c>
      <c r="C7" s="43">
        <v>2013</v>
      </c>
      <c r="D7" s="43">
        <v>7</v>
      </c>
      <c r="E7" s="43">
        <v>5</v>
      </c>
      <c r="F7" s="116">
        <v>74139</v>
      </c>
      <c r="G7" s="43">
        <v>0</v>
      </c>
      <c r="H7" s="116">
        <v>1285576</v>
      </c>
      <c r="I7" s="43">
        <v>0</v>
      </c>
      <c r="J7" s="43">
        <v>0</v>
      </c>
      <c r="K7" s="43">
        <v>0</v>
      </c>
      <c r="L7" s="116">
        <v>310.43169999999998</v>
      </c>
      <c r="M7" s="116">
        <v>31.9</v>
      </c>
      <c r="N7" s="44">
        <v>0</v>
      </c>
      <c r="O7" s="117">
        <v>5443</v>
      </c>
      <c r="P7" s="31">
        <f t="shared" si="2"/>
        <v>5443</v>
      </c>
      <c r="Q7" s="1">
        <v>5</v>
      </c>
      <c r="R7" s="118">
        <f t="shared" si="3"/>
        <v>8242.4060358030001</v>
      </c>
      <c r="S7" s="119">
        <f>'[1]Mérida oeste'!F10*1000000</f>
        <v>34509.305590700002</v>
      </c>
      <c r="T7" s="120">
        <f t="shared" si="9"/>
        <v>926.19916624318307</v>
      </c>
      <c r="U7" s="111"/>
      <c r="V7" s="120">
        <f t="shared" si="4"/>
        <v>5443</v>
      </c>
      <c r="W7" s="121">
        <f t="shared" si="10"/>
        <v>192217.74880999999</v>
      </c>
      <c r="X7" s="111"/>
      <c r="Y7" s="122">
        <f t="shared" si="11"/>
        <v>44.863416052875728</v>
      </c>
      <c r="Z7" s="119">
        <f t="shared" si="12"/>
        <v>187.83415033018011</v>
      </c>
      <c r="AA7" s="120">
        <f t="shared" si="13"/>
        <v>178.03191868496359</v>
      </c>
      <c r="AE7" s="2" t="str">
        <f t="shared" si="5"/>
        <v>74139</v>
      </c>
      <c r="AF7" s="45">
        <v>1</v>
      </c>
      <c r="AG7" s="46">
        <v>5</v>
      </c>
      <c r="AH7" s="47">
        <v>74152</v>
      </c>
      <c r="AI7" s="48">
        <f t="shared" si="0"/>
        <v>74139</v>
      </c>
      <c r="AJ7" s="49">
        <f t="shared" si="6"/>
        <v>-13</v>
      </c>
      <c r="AK7" s="3"/>
      <c r="AL7" s="37">
        <f t="shared" si="7"/>
        <v>5437</v>
      </c>
      <c r="AM7" s="50">
        <f t="shared" si="7"/>
        <v>5443</v>
      </c>
      <c r="AN7" s="51">
        <f t="shared" si="8"/>
        <v>6</v>
      </c>
      <c r="AO7" s="52">
        <f t="shared" si="1"/>
        <v>1.1023332720925959E-3</v>
      </c>
      <c r="AP7" s="3"/>
    </row>
    <row r="8" spans="1:42" x14ac:dyDescent="0.2">
      <c r="A8" s="41">
        <v>1</v>
      </c>
      <c r="B8" s="42">
        <v>0.375</v>
      </c>
      <c r="C8" s="43">
        <v>2013</v>
      </c>
      <c r="D8" s="43">
        <v>7</v>
      </c>
      <c r="E8" s="43">
        <v>6</v>
      </c>
      <c r="F8" s="116">
        <v>79582</v>
      </c>
      <c r="G8" s="43">
        <v>0</v>
      </c>
      <c r="H8" s="116">
        <v>1285826</v>
      </c>
      <c r="I8" s="43">
        <v>0</v>
      </c>
      <c r="J8" s="43">
        <v>0</v>
      </c>
      <c r="K8" s="43">
        <v>0</v>
      </c>
      <c r="L8" s="116">
        <v>311.00349999999997</v>
      </c>
      <c r="M8" s="116">
        <v>31.2</v>
      </c>
      <c r="N8" s="44">
        <v>0</v>
      </c>
      <c r="O8" s="117">
        <v>6120</v>
      </c>
      <c r="P8" s="31">
        <f t="shared" si="2"/>
        <v>6120</v>
      </c>
      <c r="Q8" s="1">
        <v>6</v>
      </c>
      <c r="R8" s="118">
        <f t="shared" si="3"/>
        <v>8485.1487493551158</v>
      </c>
      <c r="S8" s="119">
        <f>'[1]Mérida oeste'!F11*1000000</f>
        <v>35525.620783799997</v>
      </c>
      <c r="T8" s="120">
        <f t="shared" si="9"/>
        <v>953.47616496503429</v>
      </c>
      <c r="U8" s="111"/>
      <c r="V8" s="120">
        <f t="shared" si="4"/>
        <v>6120</v>
      </c>
      <c r="W8" s="121">
        <f t="shared" si="10"/>
        <v>216125.78039999999</v>
      </c>
      <c r="X8" s="111"/>
      <c r="Y8" s="122">
        <f t="shared" si="11"/>
        <v>51.929110346053307</v>
      </c>
      <c r="Z8" s="119">
        <f t="shared" si="12"/>
        <v>217.416799196856</v>
      </c>
      <c r="AA8" s="120">
        <f t="shared" si="13"/>
        <v>206.07078024586716</v>
      </c>
      <c r="AE8" s="2" t="str">
        <f t="shared" si="5"/>
        <v>79582</v>
      </c>
      <c r="AF8" s="45">
        <v>1</v>
      </c>
      <c r="AG8" s="46">
        <v>6</v>
      </c>
      <c r="AH8" s="47">
        <v>79589</v>
      </c>
      <c r="AI8" s="48">
        <f t="shared" si="0"/>
        <v>79582</v>
      </c>
      <c r="AJ8" s="49">
        <f t="shared" si="6"/>
        <v>-7</v>
      </c>
      <c r="AK8" s="3"/>
      <c r="AL8" s="37">
        <f t="shared" si="7"/>
        <v>6128</v>
      </c>
      <c r="AM8" s="50">
        <f t="shared" si="7"/>
        <v>6120</v>
      </c>
      <c r="AN8" s="51">
        <f t="shared" si="8"/>
        <v>-8</v>
      </c>
      <c r="AO8" s="52">
        <f t="shared" si="1"/>
        <v>-1.30718954248366E-3</v>
      </c>
      <c r="AP8" s="3"/>
    </row>
    <row r="9" spans="1:42" x14ac:dyDescent="0.2">
      <c r="A9" s="41">
        <v>1</v>
      </c>
      <c r="B9" s="42">
        <v>0.375</v>
      </c>
      <c r="C9" s="43">
        <v>2013</v>
      </c>
      <c r="D9" s="43">
        <v>7</v>
      </c>
      <c r="E9" s="43">
        <v>7</v>
      </c>
      <c r="F9" s="116">
        <v>85702</v>
      </c>
      <c r="G9" s="43">
        <v>0</v>
      </c>
      <c r="H9" s="116">
        <v>1286105</v>
      </c>
      <c r="I9" s="43">
        <v>0</v>
      </c>
      <c r="J9" s="43">
        <v>0</v>
      </c>
      <c r="K9" s="43">
        <v>0</v>
      </c>
      <c r="L9" s="116">
        <v>311.56670000000003</v>
      </c>
      <c r="M9" s="116">
        <v>31.4</v>
      </c>
      <c r="N9" s="44">
        <v>0</v>
      </c>
      <c r="O9" s="117">
        <v>7995</v>
      </c>
      <c r="P9" s="31">
        <f t="shared" si="2"/>
        <v>7995</v>
      </c>
      <c r="Q9" s="1">
        <v>7</v>
      </c>
      <c r="R9" s="118">
        <f t="shared" si="3"/>
        <v>8247.8458775198251</v>
      </c>
      <c r="S9" s="119">
        <f>'[1]Mérida oeste'!F12*1000000</f>
        <v>34532.081120000003</v>
      </c>
      <c r="T9" s="120">
        <f t="shared" si="9"/>
        <v>926.81044125690278</v>
      </c>
      <c r="U9" s="111"/>
      <c r="V9" s="120">
        <f t="shared" si="4"/>
        <v>7995</v>
      </c>
      <c r="W9" s="121">
        <f t="shared" si="10"/>
        <v>282340.78665000002</v>
      </c>
      <c r="X9" s="111"/>
      <c r="Y9" s="122">
        <f t="shared" si="11"/>
        <v>65.941527790771005</v>
      </c>
      <c r="Z9" s="119">
        <f t="shared" si="12"/>
        <v>276.08398855440004</v>
      </c>
      <c r="AA9" s="120">
        <f t="shared" si="13"/>
        <v>261.67638905990754</v>
      </c>
      <c r="AE9" s="2" t="str">
        <f t="shared" si="5"/>
        <v>85702</v>
      </c>
      <c r="AF9" s="45">
        <v>1</v>
      </c>
      <c r="AG9" s="46">
        <v>7</v>
      </c>
      <c r="AH9" s="47">
        <v>85717</v>
      </c>
      <c r="AI9" s="48">
        <f t="shared" si="0"/>
        <v>85702</v>
      </c>
      <c r="AJ9" s="49">
        <f t="shared" si="6"/>
        <v>-15</v>
      </c>
      <c r="AK9" s="3"/>
      <c r="AL9" s="37">
        <f t="shared" si="7"/>
        <v>7995</v>
      </c>
      <c r="AM9" s="50">
        <f t="shared" si="7"/>
        <v>7995</v>
      </c>
      <c r="AN9" s="51">
        <f t="shared" si="8"/>
        <v>0</v>
      </c>
      <c r="AO9" s="52">
        <f t="shared" si="1"/>
        <v>0</v>
      </c>
      <c r="AP9" s="3"/>
    </row>
    <row r="10" spans="1:42" x14ac:dyDescent="0.2">
      <c r="A10" s="41">
        <v>1</v>
      </c>
      <c r="B10" s="42">
        <v>0.375</v>
      </c>
      <c r="C10" s="43">
        <v>2013</v>
      </c>
      <c r="D10" s="43">
        <v>7</v>
      </c>
      <c r="E10" s="43">
        <v>8</v>
      </c>
      <c r="F10" s="116">
        <v>93697</v>
      </c>
      <c r="G10" s="43">
        <v>0</v>
      </c>
      <c r="H10" s="116">
        <v>1286470</v>
      </c>
      <c r="I10" s="43">
        <v>0</v>
      </c>
      <c r="J10" s="43">
        <v>0</v>
      </c>
      <c r="K10" s="43">
        <v>0</v>
      </c>
      <c r="L10" s="116">
        <v>311.4753</v>
      </c>
      <c r="M10" s="116">
        <v>31.5</v>
      </c>
      <c r="N10" s="44">
        <v>0</v>
      </c>
      <c r="O10" s="117">
        <v>8395</v>
      </c>
      <c r="P10" s="31">
        <f t="shared" si="2"/>
        <v>8395</v>
      </c>
      <c r="Q10" s="1">
        <v>8</v>
      </c>
      <c r="R10" s="118">
        <f t="shared" si="3"/>
        <v>8271.571822012038</v>
      </c>
      <c r="S10" s="119">
        <f>'[1]Mérida oeste'!F13*1000000</f>
        <v>34631.416904400001</v>
      </c>
      <c r="T10" s="120">
        <f t="shared" si="9"/>
        <v>929.47652563949271</v>
      </c>
      <c r="U10" s="111"/>
      <c r="V10" s="120">
        <f t="shared" si="4"/>
        <v>8395</v>
      </c>
      <c r="W10" s="121">
        <f t="shared" si="10"/>
        <v>296466.65464999998</v>
      </c>
      <c r="X10" s="111"/>
      <c r="Y10" s="122">
        <f t="shared" si="11"/>
        <v>69.439845445791065</v>
      </c>
      <c r="Z10" s="119">
        <f t="shared" si="12"/>
        <v>290.73074491243801</v>
      </c>
      <c r="AA10" s="120">
        <f t="shared" si="13"/>
        <v>275.5587961320453</v>
      </c>
      <c r="AE10" s="2" t="str">
        <f t="shared" si="5"/>
        <v>93697</v>
      </c>
      <c r="AF10" s="45">
        <v>1</v>
      </c>
      <c r="AG10" s="46">
        <v>8</v>
      </c>
      <c r="AH10" s="47">
        <v>93712</v>
      </c>
      <c r="AI10" s="48">
        <f t="shared" si="0"/>
        <v>93697</v>
      </c>
      <c r="AJ10" s="49">
        <f t="shared" si="6"/>
        <v>-15</v>
      </c>
      <c r="AK10" s="3"/>
      <c r="AL10" s="37">
        <f t="shared" si="7"/>
        <v>8394</v>
      </c>
      <c r="AM10" s="50">
        <f t="shared" si="7"/>
        <v>8395</v>
      </c>
      <c r="AN10" s="51">
        <f t="shared" si="8"/>
        <v>1</v>
      </c>
      <c r="AO10" s="52">
        <f t="shared" si="1"/>
        <v>1.1911852293031566E-4</v>
      </c>
      <c r="AP10" s="3"/>
    </row>
    <row r="11" spans="1:42" x14ac:dyDescent="0.2">
      <c r="A11" s="41">
        <v>1</v>
      </c>
      <c r="B11" s="42">
        <v>0.375</v>
      </c>
      <c r="C11" s="43">
        <v>2013</v>
      </c>
      <c r="D11" s="43">
        <v>7</v>
      </c>
      <c r="E11" s="43">
        <v>9</v>
      </c>
      <c r="F11" s="116">
        <v>102092</v>
      </c>
      <c r="G11" s="43">
        <v>0</v>
      </c>
      <c r="H11" s="116">
        <v>1286856</v>
      </c>
      <c r="I11" s="43">
        <v>0</v>
      </c>
      <c r="J11" s="43">
        <v>0</v>
      </c>
      <c r="K11" s="43">
        <v>0</v>
      </c>
      <c r="L11" s="116">
        <v>310.43369999999999</v>
      </c>
      <c r="M11" s="116">
        <v>31.4</v>
      </c>
      <c r="N11" s="44">
        <v>0</v>
      </c>
      <c r="O11" s="117">
        <v>8127</v>
      </c>
      <c r="P11" s="31">
        <f t="shared" si="2"/>
        <v>8127</v>
      </c>
      <c r="Q11" s="1">
        <v>9</v>
      </c>
      <c r="R11" s="118">
        <f t="shared" si="3"/>
        <v>8222.958561956626</v>
      </c>
      <c r="S11" s="119">
        <f>'[1]Mérida oeste'!F14*1000000</f>
        <v>34427.882907200001</v>
      </c>
      <c r="T11" s="120">
        <f t="shared" si="9"/>
        <v>924.01385360706604</v>
      </c>
      <c r="V11" s="53">
        <f t="shared" si="4"/>
        <v>8127</v>
      </c>
      <c r="W11" s="54">
        <f t="shared" si="10"/>
        <v>287002.32309000002</v>
      </c>
      <c r="Y11" s="122">
        <f t="shared" si="11"/>
        <v>66.827984233021496</v>
      </c>
      <c r="Z11" s="119">
        <f t="shared" si="12"/>
        <v>279.79540438681443</v>
      </c>
      <c r="AA11" s="120">
        <f t="shared" si="13"/>
        <v>265.19412255257117</v>
      </c>
      <c r="AE11" s="2" t="str">
        <f t="shared" si="5"/>
        <v>102092</v>
      </c>
      <c r="AF11" s="45">
        <v>1</v>
      </c>
      <c r="AG11" s="46">
        <v>9</v>
      </c>
      <c r="AH11" s="47">
        <v>102106</v>
      </c>
      <c r="AI11" s="48">
        <f t="shared" si="0"/>
        <v>102092</v>
      </c>
      <c r="AJ11" s="49">
        <f t="shared" si="6"/>
        <v>-14</v>
      </c>
      <c r="AK11" s="3"/>
      <c r="AL11" s="37">
        <f t="shared" si="7"/>
        <v>8128</v>
      </c>
      <c r="AM11" s="50">
        <f t="shared" si="7"/>
        <v>8127</v>
      </c>
      <c r="AN11" s="51">
        <f t="shared" si="8"/>
        <v>-1</v>
      </c>
      <c r="AO11" s="52">
        <f t="shared" si="1"/>
        <v>-1.2304663467454166E-4</v>
      </c>
      <c r="AP11" s="3"/>
    </row>
    <row r="12" spans="1:42" x14ac:dyDescent="0.2">
      <c r="A12" s="41">
        <v>1</v>
      </c>
      <c r="B12" s="42">
        <v>0.375</v>
      </c>
      <c r="C12" s="43">
        <v>2013</v>
      </c>
      <c r="D12" s="43">
        <v>7</v>
      </c>
      <c r="E12" s="43">
        <v>10</v>
      </c>
      <c r="F12" s="116">
        <v>110219</v>
      </c>
      <c r="G12" s="43">
        <v>0</v>
      </c>
      <c r="H12" s="116">
        <v>1287228</v>
      </c>
      <c r="I12" s="43">
        <v>0</v>
      </c>
      <c r="J12" s="43">
        <v>0</v>
      </c>
      <c r="K12" s="43">
        <v>0</v>
      </c>
      <c r="L12" s="116">
        <v>310.5292</v>
      </c>
      <c r="M12" s="116">
        <v>31.3</v>
      </c>
      <c r="N12" s="44">
        <v>0</v>
      </c>
      <c r="O12" s="117">
        <v>7948</v>
      </c>
      <c r="P12" s="31">
        <f t="shared" si="2"/>
        <v>7948</v>
      </c>
      <c r="Q12" s="1">
        <v>10</v>
      </c>
      <c r="R12" s="118">
        <f t="shared" si="3"/>
        <v>8226.3254321199965</v>
      </c>
      <c r="S12" s="119">
        <f>'[1]Mérida oeste'!F15*1000000</f>
        <v>34441.9793192</v>
      </c>
      <c r="T12" s="120">
        <f t="shared" si="9"/>
        <v>924.39218880732403</v>
      </c>
      <c r="V12" s="53">
        <f t="shared" si="4"/>
        <v>7948</v>
      </c>
      <c r="W12" s="54">
        <f t="shared" si="10"/>
        <v>280680.99715999997</v>
      </c>
      <c r="Y12" s="122">
        <f t="shared" si="11"/>
        <v>65.382834534489731</v>
      </c>
      <c r="Z12" s="119">
        <f t="shared" si="12"/>
        <v>273.74485162900163</v>
      </c>
      <c r="AA12" s="120">
        <f t="shared" si="13"/>
        <v>259.45932132135471</v>
      </c>
      <c r="AE12" s="2" t="str">
        <f t="shared" si="5"/>
        <v>110219</v>
      </c>
      <c r="AF12" s="45">
        <v>1</v>
      </c>
      <c r="AG12" s="46">
        <v>10</v>
      </c>
      <c r="AH12" s="47">
        <v>110234</v>
      </c>
      <c r="AI12" s="48">
        <f t="shared" si="0"/>
        <v>110219</v>
      </c>
      <c r="AJ12" s="49">
        <f t="shared" si="6"/>
        <v>-15</v>
      </c>
      <c r="AK12" s="3"/>
      <c r="AL12" s="37">
        <f t="shared" si="7"/>
        <v>-110234</v>
      </c>
      <c r="AM12" s="50">
        <f t="shared" si="7"/>
        <v>7948</v>
      </c>
      <c r="AN12" s="51">
        <f t="shared" si="8"/>
        <v>118182</v>
      </c>
      <c r="AO12" s="52">
        <f t="shared" si="1"/>
        <v>14.869401107196779</v>
      </c>
      <c r="AP12" s="3"/>
    </row>
    <row r="13" spans="1:42" x14ac:dyDescent="0.2">
      <c r="A13" s="41">
        <v>1</v>
      </c>
      <c r="B13" s="42">
        <v>0.375</v>
      </c>
      <c r="C13" s="43">
        <v>2013</v>
      </c>
      <c r="D13" s="43">
        <v>7</v>
      </c>
      <c r="E13" s="43">
        <v>11</v>
      </c>
      <c r="F13" s="116">
        <v>118167</v>
      </c>
      <c r="G13" s="43">
        <v>0</v>
      </c>
      <c r="H13" s="116">
        <v>1287592</v>
      </c>
      <c r="I13" s="43">
        <v>0</v>
      </c>
      <c r="J13" s="43">
        <v>0</v>
      </c>
      <c r="K13" s="43">
        <v>0</v>
      </c>
      <c r="L13" s="116">
        <v>310.10590000000002</v>
      </c>
      <c r="M13" s="116">
        <v>31.1</v>
      </c>
      <c r="N13" s="44">
        <v>0</v>
      </c>
      <c r="O13" s="117">
        <v>6113</v>
      </c>
      <c r="P13" s="31">
        <f t="shared" si="2"/>
        <v>6113</v>
      </c>
      <c r="Q13" s="1">
        <v>11</v>
      </c>
      <c r="R13" s="118">
        <f t="shared" si="3"/>
        <v>8220.303568763733</v>
      </c>
      <c r="S13" s="119">
        <f>'[1]Mérida oeste'!F16*1000000</f>
        <v>34416.766981699999</v>
      </c>
      <c r="T13" s="120">
        <f t="shared" si="9"/>
        <v>923.71551202198066</v>
      </c>
      <c r="V13" s="53">
        <f t="shared" si="4"/>
        <v>6113</v>
      </c>
      <c r="W13" s="54">
        <f t="shared" si="10"/>
        <v>215878.57770999998</v>
      </c>
      <c r="Y13" s="122">
        <f t="shared" si="11"/>
        <v>50.250715715852699</v>
      </c>
      <c r="Z13" s="119">
        <f t="shared" si="12"/>
        <v>210.38969655913209</v>
      </c>
      <c r="AA13" s="120">
        <f t="shared" si="13"/>
        <v>199.41039094396959</v>
      </c>
      <c r="AE13" s="2" t="str">
        <f t="shared" si="5"/>
        <v>118167</v>
      </c>
      <c r="AF13" s="45"/>
      <c r="AG13" s="46"/>
      <c r="AH13" s="47"/>
      <c r="AI13" s="48">
        <f t="shared" si="0"/>
        <v>118167</v>
      </c>
      <c r="AJ13" s="49">
        <f t="shared" si="6"/>
        <v>118167</v>
      </c>
      <c r="AK13" s="3"/>
      <c r="AL13" s="37">
        <f t="shared" si="7"/>
        <v>0</v>
      </c>
      <c r="AM13" s="50">
        <f t="shared" si="7"/>
        <v>6113</v>
      </c>
      <c r="AN13" s="51">
        <f t="shared" si="8"/>
        <v>6113</v>
      </c>
      <c r="AO13" s="52">
        <f t="shared" si="1"/>
        <v>1</v>
      </c>
      <c r="AP13" s="3"/>
    </row>
    <row r="14" spans="1:42" x14ac:dyDescent="0.2">
      <c r="A14" s="41">
        <v>1</v>
      </c>
      <c r="B14" s="42">
        <v>0.375</v>
      </c>
      <c r="C14" s="43">
        <v>2013</v>
      </c>
      <c r="D14" s="43">
        <v>7</v>
      </c>
      <c r="E14" s="43">
        <v>12</v>
      </c>
      <c r="F14" s="116">
        <v>124280</v>
      </c>
      <c r="G14" s="43">
        <v>0</v>
      </c>
      <c r="H14" s="116">
        <v>1287871</v>
      </c>
      <c r="I14" s="43">
        <v>0</v>
      </c>
      <c r="J14" s="43">
        <v>0</v>
      </c>
      <c r="K14" s="43">
        <v>0</v>
      </c>
      <c r="L14" s="116">
        <v>311.44900000000001</v>
      </c>
      <c r="M14" s="116">
        <v>30.8</v>
      </c>
      <c r="N14" s="44">
        <v>0</v>
      </c>
      <c r="O14" s="117">
        <v>4128</v>
      </c>
      <c r="P14" s="31">
        <f t="shared" si="2"/>
        <v>4128</v>
      </c>
      <c r="Q14" s="1">
        <v>12</v>
      </c>
      <c r="R14" s="118">
        <f t="shared" si="3"/>
        <v>8227.3524091191375</v>
      </c>
      <c r="S14" s="119">
        <f>'[1]Mérida oeste'!F17*1000000</f>
        <v>34446.279066500007</v>
      </c>
      <c r="T14" s="120">
        <f t="shared" si="9"/>
        <v>924.50759021271745</v>
      </c>
      <c r="V14" s="53">
        <f t="shared" si="4"/>
        <v>4128</v>
      </c>
      <c r="W14" s="54">
        <f t="shared" si="10"/>
        <v>145778.95775999999</v>
      </c>
      <c r="Y14" s="122">
        <f t="shared" si="11"/>
        <v>33.962510744843804</v>
      </c>
      <c r="Z14" s="119">
        <f t="shared" si="12"/>
        <v>142.19423998651203</v>
      </c>
      <c r="AA14" s="120">
        <f t="shared" si="13"/>
        <v>134.77375294241912</v>
      </c>
      <c r="AE14" s="2" t="str">
        <f t="shared" si="5"/>
        <v>124280</v>
      </c>
      <c r="AF14" s="45"/>
      <c r="AG14" s="46"/>
      <c r="AH14" s="47"/>
      <c r="AI14" s="48">
        <f t="shared" si="0"/>
        <v>124280</v>
      </c>
      <c r="AJ14" s="49">
        <f t="shared" si="6"/>
        <v>124280</v>
      </c>
      <c r="AK14" s="3"/>
      <c r="AL14" s="37">
        <f t="shared" si="7"/>
        <v>0</v>
      </c>
      <c r="AM14" s="50">
        <f t="shared" si="7"/>
        <v>4128</v>
      </c>
      <c r="AN14" s="51">
        <f t="shared" si="8"/>
        <v>4128</v>
      </c>
      <c r="AO14" s="52">
        <f t="shared" si="1"/>
        <v>1</v>
      </c>
      <c r="AP14" s="3"/>
    </row>
    <row r="15" spans="1:42" x14ac:dyDescent="0.2">
      <c r="A15" s="41">
        <v>1</v>
      </c>
      <c r="B15" s="42">
        <v>0.375</v>
      </c>
      <c r="C15" s="43">
        <v>2013</v>
      </c>
      <c r="D15" s="43">
        <v>7</v>
      </c>
      <c r="E15" s="43">
        <v>13</v>
      </c>
      <c r="F15" s="116">
        <v>128408</v>
      </c>
      <c r="G15" s="43">
        <v>0</v>
      </c>
      <c r="H15" s="116">
        <v>1288059</v>
      </c>
      <c r="I15" s="43">
        <v>0</v>
      </c>
      <c r="J15" s="43">
        <v>0</v>
      </c>
      <c r="K15" s="43">
        <v>0</v>
      </c>
      <c r="L15" s="116">
        <v>312.4008</v>
      </c>
      <c r="M15" s="116">
        <v>30.6</v>
      </c>
      <c r="N15" s="44">
        <v>0</v>
      </c>
      <c r="O15" s="117">
        <v>6124</v>
      </c>
      <c r="P15" s="31">
        <f t="shared" si="2"/>
        <v>6124</v>
      </c>
      <c r="Q15" s="1">
        <v>13</v>
      </c>
      <c r="R15" s="118">
        <f t="shared" si="3"/>
        <v>8324.0313994458793</v>
      </c>
      <c r="S15" s="119">
        <f>'[1]Mérida oeste'!F18*1000000</f>
        <v>34851.054663200004</v>
      </c>
      <c r="T15" s="120">
        <f t="shared" si="9"/>
        <v>935.37140835573348</v>
      </c>
      <c r="V15" s="53">
        <f t="shared" si="4"/>
        <v>6124</v>
      </c>
      <c r="W15" s="54">
        <f t="shared" si="10"/>
        <v>216267.03907999999</v>
      </c>
      <c r="Y15" s="122">
        <f t="shared" si="11"/>
        <v>50.976368290206565</v>
      </c>
      <c r="Z15" s="119">
        <f t="shared" si="12"/>
        <v>213.42785875743681</v>
      </c>
      <c r="AA15" s="120">
        <f t="shared" si="13"/>
        <v>202.29000492518404</v>
      </c>
      <c r="AE15" s="2" t="str">
        <f t="shared" si="5"/>
        <v>128408</v>
      </c>
      <c r="AF15" s="45"/>
      <c r="AG15" s="46"/>
      <c r="AH15" s="47"/>
      <c r="AI15" s="48">
        <f t="shared" si="0"/>
        <v>128408</v>
      </c>
      <c r="AJ15" s="49">
        <f t="shared" si="6"/>
        <v>128408</v>
      </c>
      <c r="AK15" s="3"/>
      <c r="AL15" s="37">
        <f t="shared" si="7"/>
        <v>0</v>
      </c>
      <c r="AM15" s="50">
        <f t="shared" si="7"/>
        <v>6124</v>
      </c>
      <c r="AN15" s="51">
        <f t="shared" si="8"/>
        <v>6124</v>
      </c>
      <c r="AO15" s="52">
        <f t="shared" si="1"/>
        <v>1</v>
      </c>
      <c r="AP15" s="3"/>
    </row>
    <row r="16" spans="1:42" x14ac:dyDescent="0.2">
      <c r="A16" s="41">
        <v>1</v>
      </c>
      <c r="B16" s="42">
        <v>0.375</v>
      </c>
      <c r="C16" s="43">
        <v>2013</v>
      </c>
      <c r="D16" s="43">
        <v>7</v>
      </c>
      <c r="E16" s="43">
        <v>14</v>
      </c>
      <c r="F16" s="116">
        <v>134532</v>
      </c>
      <c r="G16" s="43">
        <v>0</v>
      </c>
      <c r="H16" s="116">
        <v>1288336</v>
      </c>
      <c r="I16" s="43">
        <v>0</v>
      </c>
      <c r="J16" s="43">
        <v>0</v>
      </c>
      <c r="K16" s="43">
        <v>0</v>
      </c>
      <c r="L16" s="116">
        <v>312.43079999999998</v>
      </c>
      <c r="M16" s="116">
        <v>30.8</v>
      </c>
      <c r="N16" s="44">
        <v>0</v>
      </c>
      <c r="O16" s="117">
        <v>7976</v>
      </c>
      <c r="P16" s="31">
        <f t="shared" si="2"/>
        <v>7976</v>
      </c>
      <c r="Q16" s="1">
        <v>14</v>
      </c>
      <c r="R16" s="118">
        <f t="shared" si="3"/>
        <v>8306.7159485764787</v>
      </c>
      <c r="S16" s="119">
        <f>'[1]Mérida oeste'!F19*1000000</f>
        <v>34778.558333499997</v>
      </c>
      <c r="T16" s="120">
        <f t="shared" si="9"/>
        <v>933.42567114153894</v>
      </c>
      <c r="V16" s="53">
        <f t="shared" si="4"/>
        <v>7976</v>
      </c>
      <c r="W16" s="54">
        <f t="shared" si="10"/>
        <v>281669.80791999999</v>
      </c>
      <c r="Y16" s="122">
        <f t="shared" si="11"/>
        <v>66.254366405845985</v>
      </c>
      <c r="Z16" s="119">
        <f t="shared" si="12"/>
        <v>277.39378126799596</v>
      </c>
      <c r="AA16" s="120">
        <f t="shared" si="13"/>
        <v>262.91782949803434</v>
      </c>
      <c r="AE16" s="2" t="str">
        <f t="shared" si="5"/>
        <v>134532</v>
      </c>
      <c r="AF16" s="45"/>
      <c r="AG16" s="46"/>
      <c r="AH16" s="47"/>
      <c r="AI16" s="48">
        <f t="shared" si="0"/>
        <v>134532</v>
      </c>
      <c r="AJ16" s="49">
        <f t="shared" si="6"/>
        <v>134532</v>
      </c>
      <c r="AK16" s="3"/>
      <c r="AL16" s="37">
        <f t="shared" si="7"/>
        <v>0</v>
      </c>
      <c r="AM16" s="50">
        <f t="shared" si="7"/>
        <v>7976</v>
      </c>
      <c r="AN16" s="51">
        <f t="shared" si="8"/>
        <v>7976</v>
      </c>
      <c r="AO16" s="52">
        <f t="shared" si="1"/>
        <v>1</v>
      </c>
      <c r="AP16" s="3"/>
    </row>
    <row r="17" spans="1:42" x14ac:dyDescent="0.2">
      <c r="A17" s="41">
        <v>1</v>
      </c>
      <c r="B17" s="42">
        <v>0.375</v>
      </c>
      <c r="C17" s="43">
        <v>2013</v>
      </c>
      <c r="D17" s="43">
        <v>7</v>
      </c>
      <c r="E17" s="43">
        <v>15</v>
      </c>
      <c r="F17" s="116">
        <v>142508</v>
      </c>
      <c r="G17" s="43">
        <v>0</v>
      </c>
      <c r="H17" s="116">
        <v>1288697</v>
      </c>
      <c r="I17" s="43">
        <v>0</v>
      </c>
      <c r="J17" s="43">
        <v>0</v>
      </c>
      <c r="K17" s="43">
        <v>0</v>
      </c>
      <c r="L17" s="116">
        <v>313.11869999999999</v>
      </c>
      <c r="M17" s="116">
        <v>30.3</v>
      </c>
      <c r="N17" s="44">
        <v>0</v>
      </c>
      <c r="O17" s="117">
        <v>5492</v>
      </c>
      <c r="P17" s="31">
        <f t="shared" si="2"/>
        <v>5492</v>
      </c>
      <c r="Q17" s="1">
        <v>15</v>
      </c>
      <c r="R17" s="118">
        <f t="shared" si="3"/>
        <v>8205.7183905608108</v>
      </c>
      <c r="S17" s="119">
        <f>'[1]Mérida oeste'!F20*1000000</f>
        <v>34355.7017576</v>
      </c>
      <c r="T17" s="120">
        <f t="shared" si="9"/>
        <v>922.07657554731827</v>
      </c>
      <c r="V17" s="53">
        <f t="shared" si="4"/>
        <v>5492</v>
      </c>
      <c r="W17" s="54">
        <f t="shared" si="10"/>
        <v>193948.16764</v>
      </c>
      <c r="Y17" s="122">
        <f t="shared" si="11"/>
        <v>45.065805400959974</v>
      </c>
      <c r="Z17" s="119">
        <f t="shared" si="12"/>
        <v>188.6815140527392</v>
      </c>
      <c r="AA17" s="120">
        <f t="shared" si="13"/>
        <v>178.83506225116841</v>
      </c>
      <c r="AE17" s="2" t="str">
        <f t="shared" si="5"/>
        <v>142508</v>
      </c>
      <c r="AF17" s="45"/>
      <c r="AG17" s="46"/>
      <c r="AH17" s="47"/>
      <c r="AI17" s="48">
        <f t="shared" si="0"/>
        <v>142508</v>
      </c>
      <c r="AJ17" s="49">
        <f t="shared" si="6"/>
        <v>142508</v>
      </c>
      <c r="AK17" s="3"/>
      <c r="AL17" s="37">
        <f t="shared" si="7"/>
        <v>0</v>
      </c>
      <c r="AM17" s="50">
        <f t="shared" si="7"/>
        <v>5492</v>
      </c>
      <c r="AN17" s="51">
        <f t="shared" si="8"/>
        <v>5492</v>
      </c>
      <c r="AO17" s="52">
        <f t="shared" si="1"/>
        <v>1</v>
      </c>
      <c r="AP17" s="3"/>
    </row>
    <row r="18" spans="1:42" x14ac:dyDescent="0.2">
      <c r="A18" s="41">
        <v>1</v>
      </c>
      <c r="B18" s="42">
        <v>0.375</v>
      </c>
      <c r="C18" s="43">
        <v>2013</v>
      </c>
      <c r="D18" s="43">
        <v>7</v>
      </c>
      <c r="E18" s="43">
        <v>16</v>
      </c>
      <c r="F18" s="116">
        <v>148000</v>
      </c>
      <c r="G18" s="43">
        <v>0</v>
      </c>
      <c r="H18" s="116">
        <v>1289004</v>
      </c>
      <c r="I18" s="43">
        <v>0</v>
      </c>
      <c r="J18" s="43">
        <v>0</v>
      </c>
      <c r="K18" s="43">
        <v>0</v>
      </c>
      <c r="L18" s="116">
        <v>312.05410000000001</v>
      </c>
      <c r="M18" s="116">
        <v>31.4</v>
      </c>
      <c r="N18" s="44">
        <v>0</v>
      </c>
      <c r="O18" s="117">
        <v>9655</v>
      </c>
      <c r="P18" s="31">
        <f t="shared" si="2"/>
        <v>9655</v>
      </c>
      <c r="Q18" s="1">
        <v>16</v>
      </c>
      <c r="R18" s="118">
        <f t="shared" si="3"/>
        <v>8265.8429272714257</v>
      </c>
      <c r="S18" s="119">
        <f>'[1]Mérida oeste'!F21*1000000</f>
        <v>34607.431167900002</v>
      </c>
      <c r="T18" s="120">
        <f t="shared" si="9"/>
        <v>928.83276973749003</v>
      </c>
      <c r="V18" s="53">
        <f t="shared" si="4"/>
        <v>9655</v>
      </c>
      <c r="W18" s="54">
        <f t="shared" si="10"/>
        <v>340963.13884999999</v>
      </c>
      <c r="Y18" s="122">
        <f t="shared" si="11"/>
        <v>79.806713462805618</v>
      </c>
      <c r="Z18" s="119">
        <f t="shared" si="12"/>
        <v>334.13474792607451</v>
      </c>
      <c r="AA18" s="120">
        <f t="shared" si="13"/>
        <v>316.69773663643389</v>
      </c>
      <c r="AE18" s="2" t="str">
        <f t="shared" si="5"/>
        <v>148000</v>
      </c>
      <c r="AF18" s="45"/>
      <c r="AG18" s="46"/>
      <c r="AH18" s="47"/>
      <c r="AI18" s="48">
        <f t="shared" si="0"/>
        <v>148000</v>
      </c>
      <c r="AJ18" s="49">
        <f t="shared" si="6"/>
        <v>148000</v>
      </c>
      <c r="AK18" s="3"/>
      <c r="AL18" s="37">
        <f t="shared" si="7"/>
        <v>157658</v>
      </c>
      <c r="AM18" s="50">
        <f t="shared" si="7"/>
        <v>9655</v>
      </c>
      <c r="AN18" s="51">
        <f t="shared" si="8"/>
        <v>-148003</v>
      </c>
      <c r="AO18" s="52">
        <f t="shared" si="1"/>
        <v>-15.329155877783531</v>
      </c>
      <c r="AP18" s="3"/>
    </row>
    <row r="19" spans="1:42" x14ac:dyDescent="0.2">
      <c r="A19" s="41">
        <v>1</v>
      </c>
      <c r="B19" s="42">
        <v>0.375</v>
      </c>
      <c r="C19" s="43">
        <v>2013</v>
      </c>
      <c r="D19" s="43">
        <v>7</v>
      </c>
      <c r="E19" s="43">
        <v>17</v>
      </c>
      <c r="F19" s="116">
        <v>157655</v>
      </c>
      <c r="G19" s="43">
        <v>0</v>
      </c>
      <c r="H19" s="116">
        <v>1289384</v>
      </c>
      <c r="I19" s="43">
        <v>0</v>
      </c>
      <c r="J19" s="43">
        <v>0</v>
      </c>
      <c r="K19" s="43">
        <v>0</v>
      </c>
      <c r="L19" s="116">
        <v>312.05410000000001</v>
      </c>
      <c r="M19" s="116">
        <v>31.4</v>
      </c>
      <c r="N19" s="44">
        <v>0</v>
      </c>
      <c r="O19" s="117">
        <v>8066</v>
      </c>
      <c r="P19" s="31">
        <f t="shared" si="2"/>
        <v>8066</v>
      </c>
      <c r="Q19" s="1">
        <v>17</v>
      </c>
      <c r="R19" s="118">
        <f t="shared" si="3"/>
        <v>8223.1188986338038</v>
      </c>
      <c r="S19" s="119">
        <f>'[1]Mérida oeste'!F22*1000000</f>
        <v>34428.554204800006</v>
      </c>
      <c r="T19" s="120">
        <f t="shared" si="9"/>
        <v>924.03187063948053</v>
      </c>
      <c r="V19" s="53">
        <f t="shared" si="4"/>
        <v>8066</v>
      </c>
      <c r="W19" s="54">
        <f t="shared" si="10"/>
        <v>284848.12822000001</v>
      </c>
      <c r="Y19" s="122">
        <f t="shared" si="11"/>
        <v>66.327677036380265</v>
      </c>
      <c r="Z19" s="119">
        <f t="shared" si="12"/>
        <v>277.70071821591688</v>
      </c>
      <c r="AA19" s="120">
        <f t="shared" si="13"/>
        <v>263.20874876728118</v>
      </c>
      <c r="AE19" s="2" t="str">
        <f t="shared" si="5"/>
        <v>157655</v>
      </c>
      <c r="AF19" s="45">
        <v>1</v>
      </c>
      <c r="AG19" s="46">
        <v>17</v>
      </c>
      <c r="AH19" s="47">
        <v>157658</v>
      </c>
      <c r="AI19" s="48">
        <f t="shared" si="0"/>
        <v>157655</v>
      </c>
      <c r="AJ19" s="49">
        <f t="shared" si="6"/>
        <v>-3</v>
      </c>
      <c r="AK19" s="3"/>
      <c r="AL19" s="37">
        <f t="shared" si="7"/>
        <v>8065</v>
      </c>
      <c r="AM19" s="50">
        <f t="shared" si="7"/>
        <v>8066</v>
      </c>
      <c r="AN19" s="51">
        <f t="shared" si="8"/>
        <v>1</v>
      </c>
      <c r="AO19" s="52">
        <f t="shared" si="1"/>
        <v>1.2397718819737169E-4</v>
      </c>
      <c r="AP19" s="3"/>
    </row>
    <row r="20" spans="1:42" x14ac:dyDescent="0.2">
      <c r="A20" s="41">
        <v>1</v>
      </c>
      <c r="B20" s="42">
        <v>0.375</v>
      </c>
      <c r="C20" s="43">
        <v>2013</v>
      </c>
      <c r="D20" s="43">
        <v>7</v>
      </c>
      <c r="E20" s="43">
        <v>18</v>
      </c>
      <c r="F20" s="116">
        <v>165721</v>
      </c>
      <c r="G20" s="43">
        <v>0</v>
      </c>
      <c r="H20" s="116">
        <v>1289753</v>
      </c>
      <c r="I20" s="43">
        <v>0</v>
      </c>
      <c r="J20" s="43">
        <v>0</v>
      </c>
      <c r="K20" s="43">
        <v>0</v>
      </c>
      <c r="L20" s="116">
        <v>310.52190000000002</v>
      </c>
      <c r="M20" s="116">
        <v>30.6</v>
      </c>
      <c r="N20" s="44">
        <v>0</v>
      </c>
      <c r="O20" s="117">
        <v>7192</v>
      </c>
      <c r="P20" s="31">
        <f t="shared" si="2"/>
        <v>7192</v>
      </c>
      <c r="Q20" s="1">
        <v>18</v>
      </c>
      <c r="R20" s="118">
        <f t="shared" si="3"/>
        <v>8175.2554948170437</v>
      </c>
      <c r="S20" s="119">
        <f>'[1]Mérida oeste'!F23*1000000</f>
        <v>34228.159705699996</v>
      </c>
      <c r="T20" s="120">
        <f t="shared" si="9"/>
        <v>918.65345995259122</v>
      </c>
      <c r="V20" s="53">
        <f t="shared" si="4"/>
        <v>7192</v>
      </c>
      <c r="W20" s="54">
        <f t="shared" si="10"/>
        <v>253983.10663999998</v>
      </c>
      <c r="Y20" s="122">
        <f t="shared" si="11"/>
        <v>58.796437518724183</v>
      </c>
      <c r="Z20" s="119">
        <f t="shared" si="12"/>
        <v>246.16892460339437</v>
      </c>
      <c r="AA20" s="120">
        <f t="shared" si="13"/>
        <v>233.32245968434393</v>
      </c>
      <c r="AE20" s="2" t="str">
        <f t="shared" si="5"/>
        <v>165721</v>
      </c>
      <c r="AF20" s="45">
        <v>1</v>
      </c>
      <c r="AG20" s="46">
        <v>18</v>
      </c>
      <c r="AH20" s="47">
        <v>165723</v>
      </c>
      <c r="AI20" s="48">
        <f t="shared" si="0"/>
        <v>165721</v>
      </c>
      <c r="AJ20" s="49">
        <f t="shared" si="6"/>
        <v>-2</v>
      </c>
      <c r="AK20" s="3"/>
      <c r="AL20" s="37">
        <f t="shared" si="7"/>
        <v>7192</v>
      </c>
      <c r="AM20" s="50">
        <f t="shared" si="7"/>
        <v>7192</v>
      </c>
      <c r="AN20" s="51">
        <f t="shared" si="8"/>
        <v>0</v>
      </c>
      <c r="AO20" s="52">
        <f t="shared" si="1"/>
        <v>0</v>
      </c>
      <c r="AP20" s="3"/>
    </row>
    <row r="21" spans="1:42" x14ac:dyDescent="0.2">
      <c r="A21" s="41">
        <v>1</v>
      </c>
      <c r="B21" s="42">
        <v>0.375</v>
      </c>
      <c r="C21" s="43">
        <v>2013</v>
      </c>
      <c r="D21" s="43">
        <v>7</v>
      </c>
      <c r="E21" s="43">
        <v>19</v>
      </c>
      <c r="F21" s="116">
        <v>172913</v>
      </c>
      <c r="G21" s="43">
        <v>0</v>
      </c>
      <c r="H21" s="116">
        <v>1290081</v>
      </c>
      <c r="I21" s="43">
        <v>0</v>
      </c>
      <c r="J21" s="43">
        <v>0</v>
      </c>
      <c r="K21" s="43">
        <v>0</v>
      </c>
      <c r="L21" s="116">
        <v>310.93110000000001</v>
      </c>
      <c r="M21" s="116">
        <v>30.3</v>
      </c>
      <c r="N21" s="44">
        <v>0</v>
      </c>
      <c r="O21" s="117">
        <v>4056</v>
      </c>
      <c r="P21" s="31">
        <f t="shared" si="2"/>
        <v>4056</v>
      </c>
      <c r="Q21" s="1">
        <v>19</v>
      </c>
      <c r="R21" s="118">
        <f t="shared" si="3"/>
        <v>8255.3535241712052</v>
      </c>
      <c r="S21" s="119">
        <f>'[1]Mérida oeste'!F24*1000000</f>
        <v>34563.514134999998</v>
      </c>
      <c r="T21" s="120">
        <f t="shared" si="9"/>
        <v>927.65407551111832</v>
      </c>
      <c r="V21" s="53">
        <f t="shared" si="4"/>
        <v>4056</v>
      </c>
      <c r="W21" s="54">
        <f t="shared" si="10"/>
        <v>143236.30152000001</v>
      </c>
      <c r="Y21" s="122">
        <f t="shared" si="11"/>
        <v>33.483713894038409</v>
      </c>
      <c r="Z21" s="119">
        <f t="shared" si="12"/>
        <v>140.18961333156</v>
      </c>
      <c r="AA21" s="120">
        <f t="shared" si="13"/>
        <v>132.8737388661674</v>
      </c>
      <c r="AE21" s="2" t="str">
        <f t="shared" si="5"/>
        <v>172913</v>
      </c>
      <c r="AF21" s="45">
        <v>1</v>
      </c>
      <c r="AG21" s="46">
        <v>19</v>
      </c>
      <c r="AH21" s="47">
        <v>172915</v>
      </c>
      <c r="AI21" s="48">
        <f t="shared" si="0"/>
        <v>172913</v>
      </c>
      <c r="AJ21" s="49">
        <f t="shared" si="6"/>
        <v>-2</v>
      </c>
      <c r="AK21" s="3"/>
      <c r="AL21" s="37">
        <f t="shared" si="7"/>
        <v>4054</v>
      </c>
      <c r="AM21" s="50">
        <f t="shared" si="7"/>
        <v>4056</v>
      </c>
      <c r="AN21" s="51">
        <f t="shared" si="8"/>
        <v>2</v>
      </c>
      <c r="AO21" s="52">
        <f t="shared" si="1"/>
        <v>4.9309664694280081E-4</v>
      </c>
      <c r="AP21" s="3"/>
    </row>
    <row r="22" spans="1:42" x14ac:dyDescent="0.2">
      <c r="A22" s="41">
        <v>1</v>
      </c>
      <c r="B22" s="42">
        <v>0.375</v>
      </c>
      <c r="C22" s="43">
        <v>2013</v>
      </c>
      <c r="D22" s="43">
        <v>7</v>
      </c>
      <c r="E22" s="43">
        <v>20</v>
      </c>
      <c r="F22" s="116">
        <v>176969</v>
      </c>
      <c r="G22" s="43">
        <v>0</v>
      </c>
      <c r="H22" s="116">
        <v>1290266</v>
      </c>
      <c r="I22" s="43">
        <v>0</v>
      </c>
      <c r="J22" s="43">
        <v>0</v>
      </c>
      <c r="K22" s="43">
        <v>0</v>
      </c>
      <c r="L22" s="116">
        <v>311.34249999999997</v>
      </c>
      <c r="M22" s="116">
        <v>28.9</v>
      </c>
      <c r="N22" s="44">
        <v>0</v>
      </c>
      <c r="O22" s="117">
        <v>2522</v>
      </c>
      <c r="P22" s="31">
        <f t="shared" si="2"/>
        <v>2522</v>
      </c>
      <c r="Q22" s="1">
        <v>20</v>
      </c>
      <c r="R22" s="118">
        <f t="shared" si="3"/>
        <v>8328.1626097258049</v>
      </c>
      <c r="S22" s="119">
        <f>'[1]Mérida oeste'!F25*1000000</f>
        <v>34868.351214399998</v>
      </c>
      <c r="T22" s="120">
        <f t="shared" si="9"/>
        <v>935.8356324548887</v>
      </c>
      <c r="V22" s="53">
        <f t="shared" si="4"/>
        <v>2522</v>
      </c>
      <c r="W22" s="54">
        <f t="shared" si="10"/>
        <v>89063.597739999997</v>
      </c>
      <c r="Y22" s="122">
        <f t="shared" si="11"/>
        <v>21.003626101728479</v>
      </c>
      <c r="Z22" s="119">
        <f t="shared" si="12"/>
        <v>87.937981762716802</v>
      </c>
      <c r="AA22" s="120">
        <f t="shared" si="13"/>
        <v>83.3488883197207</v>
      </c>
      <c r="AE22" s="2" t="str">
        <f t="shared" si="5"/>
        <v>176969</v>
      </c>
      <c r="AF22" s="45">
        <v>1</v>
      </c>
      <c r="AG22" s="46">
        <v>20</v>
      </c>
      <c r="AH22" s="47">
        <v>176969</v>
      </c>
      <c r="AI22" s="48">
        <f t="shared" si="0"/>
        <v>176969</v>
      </c>
      <c r="AJ22" s="49">
        <f t="shared" si="6"/>
        <v>0</v>
      </c>
      <c r="AK22" s="3"/>
      <c r="AL22" s="37">
        <f t="shared" si="7"/>
        <v>2522</v>
      </c>
      <c r="AM22" s="50">
        <f t="shared" si="7"/>
        <v>2522</v>
      </c>
      <c r="AN22" s="51">
        <f t="shared" si="8"/>
        <v>0</v>
      </c>
      <c r="AO22" s="52">
        <f t="shared" si="1"/>
        <v>0</v>
      </c>
      <c r="AP22" s="3"/>
    </row>
    <row r="23" spans="1:42" x14ac:dyDescent="0.2">
      <c r="A23" s="41">
        <v>1</v>
      </c>
      <c r="B23" s="42">
        <v>0.375</v>
      </c>
      <c r="C23" s="43">
        <v>2013</v>
      </c>
      <c r="D23" s="43">
        <v>7</v>
      </c>
      <c r="E23" s="43">
        <v>21</v>
      </c>
      <c r="F23" s="116">
        <v>179491</v>
      </c>
      <c r="G23" s="43">
        <v>0</v>
      </c>
      <c r="H23" s="116">
        <v>1290380</v>
      </c>
      <c r="I23" s="43">
        <v>0</v>
      </c>
      <c r="J23" s="43">
        <v>0</v>
      </c>
      <c r="K23" s="43">
        <v>0</v>
      </c>
      <c r="L23" s="116">
        <v>179.04159999999999</v>
      </c>
      <c r="M23" s="116">
        <v>27</v>
      </c>
      <c r="N23" s="44">
        <v>0</v>
      </c>
      <c r="O23" s="117">
        <v>2</v>
      </c>
      <c r="P23" s="31">
        <f t="shared" si="2"/>
        <v>2</v>
      </c>
      <c r="Q23" s="1">
        <v>21</v>
      </c>
      <c r="R23" s="118">
        <f t="shared" si="3"/>
        <v>8223.9134233065834</v>
      </c>
      <c r="S23" s="119">
        <f>'[1]Mérida oeste'!F26*1000000</f>
        <v>34431.880720699999</v>
      </c>
      <c r="T23" s="120">
        <f t="shared" si="9"/>
        <v>924.12115137696071</v>
      </c>
      <c r="V23" s="53">
        <f t="shared" si="4"/>
        <v>2</v>
      </c>
      <c r="W23" s="54">
        <f t="shared" si="10"/>
        <v>70.629339999999999</v>
      </c>
      <c r="Y23" s="122">
        <f t="shared" si="11"/>
        <v>1.6447826846613167E-2</v>
      </c>
      <c r="Z23" s="119">
        <f t="shared" si="12"/>
        <v>6.8863761441399995E-2</v>
      </c>
      <c r="AA23" s="120">
        <f t="shared" si="13"/>
        <v>6.5270067001794829E-2</v>
      </c>
      <c r="AE23" s="2" t="str">
        <f t="shared" si="5"/>
        <v>179491</v>
      </c>
      <c r="AF23" s="45">
        <v>1</v>
      </c>
      <c r="AG23" s="46">
        <v>21</v>
      </c>
      <c r="AH23" s="47">
        <v>179491</v>
      </c>
      <c r="AI23" s="48">
        <f t="shared" si="0"/>
        <v>179491</v>
      </c>
      <c r="AJ23" s="49">
        <f t="shared" si="6"/>
        <v>0</v>
      </c>
      <c r="AK23" s="3"/>
      <c r="AL23" s="37">
        <f t="shared" si="7"/>
        <v>2</v>
      </c>
      <c r="AM23" s="50">
        <f t="shared" si="7"/>
        <v>2</v>
      </c>
      <c r="AN23" s="51">
        <f t="shared" si="8"/>
        <v>0</v>
      </c>
      <c r="AO23" s="52">
        <f t="shared" si="1"/>
        <v>0</v>
      </c>
      <c r="AP23" s="3"/>
    </row>
    <row r="24" spans="1:42" x14ac:dyDescent="0.2">
      <c r="A24" s="41">
        <v>1</v>
      </c>
      <c r="B24" s="42">
        <v>0.375</v>
      </c>
      <c r="C24" s="43">
        <v>2013</v>
      </c>
      <c r="D24" s="43">
        <v>7</v>
      </c>
      <c r="E24" s="43">
        <v>22</v>
      </c>
      <c r="F24" s="116">
        <v>179493</v>
      </c>
      <c r="G24" s="43">
        <v>0</v>
      </c>
      <c r="H24" s="116">
        <v>1290380</v>
      </c>
      <c r="I24" s="43">
        <v>0</v>
      </c>
      <c r="J24" s="43">
        <v>0</v>
      </c>
      <c r="K24" s="43">
        <v>0</v>
      </c>
      <c r="L24" s="116">
        <v>257.65199999999999</v>
      </c>
      <c r="M24" s="116">
        <v>28.7</v>
      </c>
      <c r="N24" s="44">
        <v>0</v>
      </c>
      <c r="O24" s="117">
        <v>4885</v>
      </c>
      <c r="P24" s="31">
        <f t="shared" si="2"/>
        <v>4885</v>
      </c>
      <c r="Q24" s="1">
        <v>22</v>
      </c>
      <c r="R24" s="118">
        <f t="shared" si="3"/>
        <v>8350.8945299990464</v>
      </c>
      <c r="S24" s="119">
        <f>'[1]Mérida oeste'!F27*1000000</f>
        <v>34963.525218200004</v>
      </c>
      <c r="T24" s="120">
        <f t="shared" si="9"/>
        <v>938.39001833599286</v>
      </c>
      <c r="V24" s="53">
        <f t="shared" si="4"/>
        <v>4885</v>
      </c>
      <c r="W24" s="54">
        <f t="shared" si="10"/>
        <v>172512.16295</v>
      </c>
      <c r="Y24" s="122">
        <f t="shared" si="11"/>
        <v>40.794119779045346</v>
      </c>
      <c r="Z24" s="119">
        <f t="shared" si="12"/>
        <v>170.79682069090703</v>
      </c>
      <c r="AA24" s="120">
        <f t="shared" si="13"/>
        <v>161.88369175383227</v>
      </c>
      <c r="AE24" s="2" t="str">
        <f t="shared" si="5"/>
        <v>179493</v>
      </c>
      <c r="AF24" s="45">
        <v>1</v>
      </c>
      <c r="AG24" s="46">
        <v>22</v>
      </c>
      <c r="AH24" s="47">
        <v>179493</v>
      </c>
      <c r="AI24" s="48">
        <f t="shared" si="0"/>
        <v>179493</v>
      </c>
      <c r="AJ24" s="49">
        <f t="shared" si="6"/>
        <v>0</v>
      </c>
      <c r="AK24" s="3"/>
      <c r="AL24" s="37">
        <f t="shared" si="7"/>
        <v>4891</v>
      </c>
      <c r="AM24" s="50">
        <f t="shared" si="7"/>
        <v>4885</v>
      </c>
      <c r="AN24" s="51">
        <f t="shared" si="8"/>
        <v>-6</v>
      </c>
      <c r="AO24" s="52">
        <f t="shared" si="1"/>
        <v>-1.2282497441146367E-3</v>
      </c>
      <c r="AP24" s="3"/>
    </row>
    <row r="25" spans="1:42" x14ac:dyDescent="0.2">
      <c r="A25" s="41">
        <v>1</v>
      </c>
      <c r="B25" s="42">
        <v>0.375</v>
      </c>
      <c r="C25" s="43">
        <v>2013</v>
      </c>
      <c r="D25" s="43">
        <v>7</v>
      </c>
      <c r="E25" s="43">
        <v>23</v>
      </c>
      <c r="F25" s="116">
        <v>184378</v>
      </c>
      <c r="G25" s="43">
        <v>0</v>
      </c>
      <c r="H25" s="116">
        <v>1290605</v>
      </c>
      <c r="I25" s="43">
        <v>0</v>
      </c>
      <c r="J25" s="43">
        <v>0</v>
      </c>
      <c r="K25" s="43">
        <v>0</v>
      </c>
      <c r="L25" s="116">
        <v>309.83030000000002</v>
      </c>
      <c r="M25" s="116">
        <v>33</v>
      </c>
      <c r="N25" s="44">
        <v>0</v>
      </c>
      <c r="O25" s="117">
        <v>8014</v>
      </c>
      <c r="P25" s="31">
        <f t="shared" si="2"/>
        <v>8014</v>
      </c>
      <c r="Q25" s="1">
        <v>23</v>
      </c>
      <c r="R25" s="118">
        <f t="shared" si="3"/>
        <v>8610.6551203544477</v>
      </c>
      <c r="S25" s="119">
        <f>'[1]Mérida oeste'!F28*1000000</f>
        <v>36051.090857900002</v>
      </c>
      <c r="T25" s="120">
        <f t="shared" si="9"/>
        <v>967.57931587422922</v>
      </c>
      <c r="V25" s="53">
        <f t="shared" si="4"/>
        <v>8014</v>
      </c>
      <c r="W25" s="54">
        <f t="shared" si="10"/>
        <v>283011.76538</v>
      </c>
      <c r="Y25" s="122">
        <f t="shared" si="11"/>
        <v>69.005790134520552</v>
      </c>
      <c r="Z25" s="119">
        <f t="shared" si="12"/>
        <v>288.91344213521063</v>
      </c>
      <c r="AA25" s="120">
        <f t="shared" si="13"/>
        <v>273.83633033073824</v>
      </c>
      <c r="AE25" s="2" t="str">
        <f t="shared" si="5"/>
        <v>184378</v>
      </c>
      <c r="AF25" s="45">
        <v>1</v>
      </c>
      <c r="AG25" s="46">
        <v>23</v>
      </c>
      <c r="AH25" s="47">
        <v>184384</v>
      </c>
      <c r="AI25" s="48">
        <f t="shared" si="0"/>
        <v>184378</v>
      </c>
      <c r="AJ25" s="49">
        <f t="shared" si="6"/>
        <v>-6</v>
      </c>
      <c r="AK25" s="3"/>
      <c r="AL25" s="37">
        <f t="shared" si="7"/>
        <v>8012</v>
      </c>
      <c r="AM25" s="50">
        <f t="shared" si="7"/>
        <v>8014</v>
      </c>
      <c r="AN25" s="51">
        <f t="shared" si="8"/>
        <v>2</v>
      </c>
      <c r="AO25" s="52">
        <f t="shared" si="1"/>
        <v>2.495632642874969E-4</v>
      </c>
      <c r="AP25" s="3"/>
    </row>
    <row r="26" spans="1:42" x14ac:dyDescent="0.2">
      <c r="A26" s="41">
        <v>1</v>
      </c>
      <c r="B26" s="42">
        <v>0.375</v>
      </c>
      <c r="C26" s="43">
        <v>2013</v>
      </c>
      <c r="D26" s="43">
        <v>7</v>
      </c>
      <c r="E26" s="43">
        <v>24</v>
      </c>
      <c r="F26" s="116">
        <v>192392</v>
      </c>
      <c r="G26" s="43">
        <v>0</v>
      </c>
      <c r="H26" s="116">
        <v>1290974</v>
      </c>
      <c r="I26" s="43">
        <v>0</v>
      </c>
      <c r="J26" s="43">
        <v>0</v>
      </c>
      <c r="K26" s="43">
        <v>0</v>
      </c>
      <c r="L26" s="116">
        <v>309.60680000000002</v>
      </c>
      <c r="M26" s="116">
        <v>32.1</v>
      </c>
      <c r="N26" s="44">
        <v>0</v>
      </c>
      <c r="O26" s="117">
        <v>7230</v>
      </c>
      <c r="P26" s="31">
        <f t="shared" si="2"/>
        <v>7230</v>
      </c>
      <c r="Q26" s="1">
        <v>24</v>
      </c>
      <c r="R26" s="118">
        <f t="shared" si="3"/>
        <v>8612.9688494554302</v>
      </c>
      <c r="S26" s="119">
        <f>'[1]Mérida oeste'!F29*1000000</f>
        <v>36060.777978899998</v>
      </c>
      <c r="T26" s="120">
        <f t="shared" si="9"/>
        <v>967.83930961330668</v>
      </c>
      <c r="V26" s="53">
        <f t="shared" si="4"/>
        <v>7230</v>
      </c>
      <c r="W26" s="54">
        <f t="shared" si="10"/>
        <v>255325.06409999999</v>
      </c>
      <c r="Y26" s="122">
        <f t="shared" si="11"/>
        <v>62.271764781562759</v>
      </c>
      <c r="Z26" s="119">
        <f t="shared" si="12"/>
        <v>260.719424787447</v>
      </c>
      <c r="AA26" s="120">
        <f t="shared" si="13"/>
        <v>247.11363376551728</v>
      </c>
      <c r="AE26" s="2" t="str">
        <f t="shared" si="5"/>
        <v>192392</v>
      </c>
      <c r="AF26" s="45">
        <v>1</v>
      </c>
      <c r="AG26" s="46">
        <v>24</v>
      </c>
      <c r="AH26" s="47">
        <v>192396</v>
      </c>
      <c r="AI26" s="48">
        <f t="shared" si="0"/>
        <v>192392</v>
      </c>
      <c r="AJ26" s="49">
        <f t="shared" si="6"/>
        <v>-4</v>
      </c>
      <c r="AK26" s="3"/>
      <c r="AL26" s="37">
        <f t="shared" si="7"/>
        <v>7234</v>
      </c>
      <c r="AM26" s="50">
        <f t="shared" si="7"/>
        <v>7230</v>
      </c>
      <c r="AN26" s="51">
        <f t="shared" si="8"/>
        <v>-4</v>
      </c>
      <c r="AO26" s="52">
        <f t="shared" si="1"/>
        <v>-5.532503457814661E-4</v>
      </c>
      <c r="AP26" s="3"/>
    </row>
    <row r="27" spans="1:42" x14ac:dyDescent="0.2">
      <c r="A27" s="41">
        <v>1</v>
      </c>
      <c r="B27" s="42">
        <v>0.375</v>
      </c>
      <c r="C27" s="43">
        <v>2013</v>
      </c>
      <c r="D27" s="43">
        <v>7</v>
      </c>
      <c r="E27" s="43">
        <v>25</v>
      </c>
      <c r="F27" s="116">
        <v>199622</v>
      </c>
      <c r="G27" s="43">
        <v>0</v>
      </c>
      <c r="H27" s="116">
        <v>1291308</v>
      </c>
      <c r="I27" s="43">
        <v>0</v>
      </c>
      <c r="J27" s="43">
        <v>0</v>
      </c>
      <c r="K27" s="43">
        <v>0</v>
      </c>
      <c r="L27" s="116">
        <v>309.82380000000001</v>
      </c>
      <c r="M27" s="116">
        <v>32.5</v>
      </c>
      <c r="N27" s="44">
        <v>0</v>
      </c>
      <c r="O27" s="117">
        <v>8428</v>
      </c>
      <c r="P27" s="31">
        <f t="shared" si="2"/>
        <v>8428</v>
      </c>
      <c r="Q27" s="1">
        <v>25</v>
      </c>
      <c r="R27" s="118">
        <f t="shared" si="3"/>
        <v>8332.0125941052847</v>
      </c>
      <c r="S27" s="119">
        <f>'[1]Mérida oeste'!F30*1000000</f>
        <v>34884.470329000003</v>
      </c>
      <c r="T27" s="120">
        <f t="shared" si="9"/>
        <v>936.26825519961085</v>
      </c>
      <c r="V27" s="53">
        <f t="shared" si="4"/>
        <v>8428</v>
      </c>
      <c r="W27" s="54">
        <f t="shared" si="10"/>
        <v>297632.03876000002</v>
      </c>
      <c r="Y27" s="122">
        <f t="shared" si="11"/>
        <v>70.222202143119333</v>
      </c>
      <c r="Z27" s="119">
        <f t="shared" si="12"/>
        <v>294.00631593281202</v>
      </c>
      <c r="AA27" s="120">
        <f t="shared" si="13"/>
        <v>278.66342962132819</v>
      </c>
      <c r="AE27" s="2" t="str">
        <f t="shared" si="5"/>
        <v>199622</v>
      </c>
      <c r="AF27" s="45">
        <v>1</v>
      </c>
      <c r="AG27" s="46">
        <v>25</v>
      </c>
      <c r="AH27" s="47">
        <v>199630</v>
      </c>
      <c r="AI27" s="48">
        <f t="shared" si="0"/>
        <v>199622</v>
      </c>
      <c r="AJ27" s="49">
        <f t="shared" si="6"/>
        <v>-8</v>
      </c>
      <c r="AK27" s="3"/>
      <c r="AL27" s="37">
        <f t="shared" si="7"/>
        <v>8429</v>
      </c>
      <c r="AM27" s="50">
        <f t="shared" si="7"/>
        <v>8428</v>
      </c>
      <c r="AN27" s="51">
        <f t="shared" si="8"/>
        <v>-1</v>
      </c>
      <c r="AO27" s="52">
        <f t="shared" si="1"/>
        <v>-1.1865211200759374E-4</v>
      </c>
      <c r="AP27" s="3"/>
    </row>
    <row r="28" spans="1:42" x14ac:dyDescent="0.2">
      <c r="A28" s="41">
        <v>1</v>
      </c>
      <c r="B28" s="42">
        <v>0.375</v>
      </c>
      <c r="C28" s="43">
        <v>2013</v>
      </c>
      <c r="D28" s="43">
        <v>7</v>
      </c>
      <c r="E28" s="43">
        <v>26</v>
      </c>
      <c r="F28" s="116">
        <v>208050</v>
      </c>
      <c r="G28" s="43">
        <v>0</v>
      </c>
      <c r="H28" s="116">
        <v>1291697</v>
      </c>
      <c r="I28" s="43">
        <v>0</v>
      </c>
      <c r="J28" s="43">
        <v>0</v>
      </c>
      <c r="K28" s="43">
        <v>0</v>
      </c>
      <c r="L28" s="116">
        <v>309.64030000000002</v>
      </c>
      <c r="M28" s="116">
        <v>32.700000000000003</v>
      </c>
      <c r="N28" s="44">
        <v>0</v>
      </c>
      <c r="O28" s="117">
        <v>4245</v>
      </c>
      <c r="P28" s="31">
        <f t="shared" si="2"/>
        <v>4245</v>
      </c>
      <c r="Q28" s="1">
        <v>26</v>
      </c>
      <c r="R28" s="118">
        <f t="shared" si="3"/>
        <v>8296.7126686490883</v>
      </c>
      <c r="S28" s="119">
        <f>'[1]Mérida oeste'!F31*1000000</f>
        <v>34736.6766011</v>
      </c>
      <c r="T28" s="120">
        <f t="shared" si="9"/>
        <v>932.30160257609805</v>
      </c>
      <c r="V28" s="53">
        <f t="shared" si="4"/>
        <v>4245</v>
      </c>
      <c r="W28" s="54">
        <f t="shared" si="10"/>
        <v>149910.77415000001</v>
      </c>
      <c r="Y28" s="122">
        <f t="shared" si="11"/>
        <v>35.219545278415382</v>
      </c>
      <c r="Z28" s="119">
        <f t="shared" si="12"/>
        <v>147.4571921716695</v>
      </c>
      <c r="AA28" s="120">
        <f t="shared" si="13"/>
        <v>139.76205498346852</v>
      </c>
      <c r="AE28" s="2" t="str">
        <f t="shared" si="5"/>
        <v>208050</v>
      </c>
      <c r="AF28" s="45">
        <v>1</v>
      </c>
      <c r="AG28" s="46">
        <v>26</v>
      </c>
      <c r="AH28" s="47">
        <v>208059</v>
      </c>
      <c r="AI28" s="48">
        <f t="shared" si="0"/>
        <v>208050</v>
      </c>
      <c r="AJ28" s="49">
        <f t="shared" si="6"/>
        <v>-9</v>
      </c>
      <c r="AK28" s="3"/>
      <c r="AL28" s="37">
        <f t="shared" si="7"/>
        <v>4236</v>
      </c>
      <c r="AM28" s="50">
        <f t="shared" si="7"/>
        <v>4245</v>
      </c>
      <c r="AN28" s="51">
        <f t="shared" si="8"/>
        <v>9</v>
      </c>
      <c r="AO28" s="52">
        <f t="shared" si="1"/>
        <v>2.1201413427561835E-3</v>
      </c>
      <c r="AP28" s="3"/>
    </row>
    <row r="29" spans="1:42" x14ac:dyDescent="0.2">
      <c r="A29" s="41">
        <v>1</v>
      </c>
      <c r="B29" s="42">
        <v>0.375</v>
      </c>
      <c r="C29" s="43">
        <v>2013</v>
      </c>
      <c r="D29" s="43">
        <v>7</v>
      </c>
      <c r="E29" s="43">
        <v>27</v>
      </c>
      <c r="F29" s="116">
        <v>212295</v>
      </c>
      <c r="G29" s="43">
        <v>0</v>
      </c>
      <c r="H29" s="116">
        <v>1291892</v>
      </c>
      <c r="I29" s="43">
        <v>0</v>
      </c>
      <c r="J29" s="43">
        <v>0</v>
      </c>
      <c r="K29" s="43">
        <v>0</v>
      </c>
      <c r="L29" s="116">
        <v>311.0539</v>
      </c>
      <c r="M29" s="116">
        <v>31.5</v>
      </c>
      <c r="N29" s="44">
        <v>0</v>
      </c>
      <c r="O29" s="117">
        <v>5968</v>
      </c>
      <c r="P29" s="31">
        <f t="shared" si="2"/>
        <v>5968</v>
      </c>
      <c r="Q29" s="1">
        <v>27</v>
      </c>
      <c r="R29" s="118">
        <f t="shared" si="3"/>
        <v>8222.6063670106068</v>
      </c>
      <c r="S29" s="119">
        <f>'[1]Mérida oeste'!F32*1000000</f>
        <v>34426.408337400004</v>
      </c>
      <c r="T29" s="120">
        <f t="shared" si="9"/>
        <v>923.97427746098185</v>
      </c>
      <c r="V29" s="53">
        <f t="shared" si="4"/>
        <v>5968</v>
      </c>
      <c r="W29" s="54">
        <f t="shared" si="10"/>
        <v>210757.95056</v>
      </c>
      <c r="Y29" s="122">
        <f t="shared" si="11"/>
        <v>49.072514798319304</v>
      </c>
      <c r="Z29" s="119">
        <f t="shared" si="12"/>
        <v>205.45680495760323</v>
      </c>
      <c r="AA29" s="120">
        <f t="shared" si="13"/>
        <v>194.73492508783335</v>
      </c>
      <c r="AE29" s="2" t="str">
        <f t="shared" si="5"/>
        <v>212295</v>
      </c>
      <c r="AF29" s="45">
        <v>1</v>
      </c>
      <c r="AG29" s="46">
        <v>27</v>
      </c>
      <c r="AH29" s="47">
        <v>212295</v>
      </c>
      <c r="AI29" s="48">
        <f t="shared" si="0"/>
        <v>212295</v>
      </c>
      <c r="AJ29" s="49">
        <f t="shared" si="6"/>
        <v>0</v>
      </c>
      <c r="AK29" s="3"/>
      <c r="AL29" s="37">
        <f t="shared" si="7"/>
        <v>5981</v>
      </c>
      <c r="AM29" s="50">
        <f t="shared" si="7"/>
        <v>5968</v>
      </c>
      <c r="AN29" s="51">
        <f t="shared" si="8"/>
        <v>-13</v>
      </c>
      <c r="AO29" s="52">
        <f t="shared" si="1"/>
        <v>-2.1782841823056302E-3</v>
      </c>
      <c r="AP29" s="3"/>
    </row>
    <row r="30" spans="1:42" x14ac:dyDescent="0.2">
      <c r="A30" s="41">
        <v>1</v>
      </c>
      <c r="B30" s="42">
        <v>0.375</v>
      </c>
      <c r="C30" s="43">
        <v>2013</v>
      </c>
      <c r="D30" s="43">
        <v>7</v>
      </c>
      <c r="E30" s="43">
        <v>28</v>
      </c>
      <c r="F30" s="116">
        <v>218263</v>
      </c>
      <c r="G30" s="43">
        <v>0</v>
      </c>
      <c r="H30" s="116">
        <v>1292166</v>
      </c>
      <c r="I30" s="43">
        <v>0</v>
      </c>
      <c r="J30" s="43">
        <v>0</v>
      </c>
      <c r="K30" s="43">
        <v>0</v>
      </c>
      <c r="L30" s="116">
        <v>311.27179999999998</v>
      </c>
      <c r="M30" s="116">
        <v>32.9</v>
      </c>
      <c r="N30" s="44">
        <v>0</v>
      </c>
      <c r="O30" s="117">
        <v>8254</v>
      </c>
      <c r="P30" s="31">
        <f t="shared" si="2"/>
        <v>8254</v>
      </c>
      <c r="Q30" s="1">
        <v>28</v>
      </c>
      <c r="R30" s="118">
        <f t="shared" si="3"/>
        <v>8198.62819743002</v>
      </c>
      <c r="S30" s="119">
        <f>'[1]Mérida oeste'!F33*1000000</f>
        <v>34326.016537000003</v>
      </c>
      <c r="T30" s="120">
        <f t="shared" si="9"/>
        <v>921.27985054521127</v>
      </c>
      <c r="V30" s="53">
        <f t="shared" si="4"/>
        <v>8254</v>
      </c>
      <c r="W30" s="54">
        <f t="shared" si="10"/>
        <v>291487.28618</v>
      </c>
      <c r="Y30" s="122">
        <f t="shared" si="11"/>
        <v>67.671477141587388</v>
      </c>
      <c r="Z30" s="119">
        <f t="shared" si="12"/>
        <v>283.32694049639804</v>
      </c>
      <c r="AA30" s="120">
        <f t="shared" si="13"/>
        <v>268.54136344773963</v>
      </c>
      <c r="AE30" s="2" t="str">
        <f t="shared" si="5"/>
        <v>218263</v>
      </c>
      <c r="AF30" s="45">
        <v>1</v>
      </c>
      <c r="AG30" s="46">
        <v>28</v>
      </c>
      <c r="AH30" s="47">
        <v>218276</v>
      </c>
      <c r="AI30" s="48">
        <f t="shared" si="0"/>
        <v>218263</v>
      </c>
      <c r="AJ30" s="49">
        <f t="shared" si="6"/>
        <v>-13</v>
      </c>
      <c r="AK30" s="3"/>
      <c r="AL30" s="37">
        <f t="shared" si="7"/>
        <v>8250</v>
      </c>
      <c r="AM30" s="50">
        <f t="shared" si="7"/>
        <v>8254</v>
      </c>
      <c r="AN30" s="51">
        <f t="shared" si="8"/>
        <v>4</v>
      </c>
      <c r="AO30" s="52">
        <f t="shared" si="1"/>
        <v>4.8461352071722802E-4</v>
      </c>
      <c r="AP30" s="3"/>
    </row>
    <row r="31" spans="1:42" x14ac:dyDescent="0.2">
      <c r="A31" s="41">
        <v>1</v>
      </c>
      <c r="B31" s="42">
        <v>0.375</v>
      </c>
      <c r="C31" s="43">
        <v>2013</v>
      </c>
      <c r="D31" s="43">
        <v>7</v>
      </c>
      <c r="E31" s="43">
        <v>29</v>
      </c>
      <c r="F31" s="116">
        <v>226517</v>
      </c>
      <c r="G31" s="43">
        <v>0</v>
      </c>
      <c r="H31" s="116">
        <v>1292546</v>
      </c>
      <c r="I31" s="43">
        <v>0</v>
      </c>
      <c r="J31" s="43">
        <v>0</v>
      </c>
      <c r="K31" s="43">
        <v>0</v>
      </c>
      <c r="L31" s="116">
        <v>311.26949999999999</v>
      </c>
      <c r="M31" s="116">
        <v>33.1</v>
      </c>
      <c r="N31" s="44">
        <v>0</v>
      </c>
      <c r="O31" s="117">
        <v>7801</v>
      </c>
      <c r="P31" s="31">
        <f t="shared" si="2"/>
        <v>7801</v>
      </c>
      <c r="Q31" s="1">
        <v>29</v>
      </c>
      <c r="R31" s="118">
        <f t="shared" si="3"/>
        <v>8401.1716620569405</v>
      </c>
      <c r="S31" s="119">
        <f>'[1]Mérida oeste'!F34*1000000</f>
        <v>35174.025514699999</v>
      </c>
      <c r="T31" s="120">
        <f t="shared" si="9"/>
        <v>944.03965966533838</v>
      </c>
      <c r="V31" s="53">
        <f t="shared" si="4"/>
        <v>7801</v>
      </c>
      <c r="W31" s="54">
        <f t="shared" si="10"/>
        <v>275489.74066999997</v>
      </c>
      <c r="Y31" s="122">
        <f t="shared" si="11"/>
        <v>65.537540135706195</v>
      </c>
      <c r="Z31" s="119">
        <f t="shared" si="12"/>
        <v>274.39257304017468</v>
      </c>
      <c r="AA31" s="120">
        <f t="shared" si="13"/>
        <v>260.07324102339913</v>
      </c>
      <c r="AE31" s="2" t="str">
        <f t="shared" si="5"/>
        <v>226517</v>
      </c>
      <c r="AF31" s="45">
        <v>1</v>
      </c>
      <c r="AG31" s="46">
        <v>29</v>
      </c>
      <c r="AH31" s="47">
        <v>226526</v>
      </c>
      <c r="AI31" s="48">
        <f t="shared" si="0"/>
        <v>226517</v>
      </c>
      <c r="AJ31" s="49">
        <f t="shared" si="6"/>
        <v>-9</v>
      </c>
      <c r="AK31" s="3"/>
      <c r="AL31" s="37">
        <f t="shared" si="7"/>
        <v>7794</v>
      </c>
      <c r="AM31" s="50">
        <f t="shared" si="7"/>
        <v>7801</v>
      </c>
      <c r="AN31" s="51">
        <f t="shared" si="8"/>
        <v>7</v>
      </c>
      <c r="AO31" s="52">
        <f t="shared" si="1"/>
        <v>8.9732085630047427E-4</v>
      </c>
      <c r="AP31" s="3"/>
    </row>
    <row r="32" spans="1:42" x14ac:dyDescent="0.2">
      <c r="A32" s="41">
        <v>1</v>
      </c>
      <c r="B32" s="42">
        <v>0.375</v>
      </c>
      <c r="C32" s="43">
        <v>2013</v>
      </c>
      <c r="D32" s="43">
        <v>7</v>
      </c>
      <c r="E32" s="43">
        <v>30</v>
      </c>
      <c r="F32" s="116">
        <v>234318</v>
      </c>
      <c r="G32" s="43">
        <v>0</v>
      </c>
      <c r="H32" s="116">
        <v>1292904</v>
      </c>
      <c r="I32" s="43">
        <v>0</v>
      </c>
      <c r="J32" s="43">
        <v>0</v>
      </c>
      <c r="K32" s="43">
        <v>0</v>
      </c>
      <c r="L32" s="116">
        <v>312.13780000000003</v>
      </c>
      <c r="M32" s="116">
        <v>32.799999999999997</v>
      </c>
      <c r="N32" s="44">
        <v>0</v>
      </c>
      <c r="O32" s="117">
        <v>7418</v>
      </c>
      <c r="P32" s="31">
        <f t="shared" si="2"/>
        <v>7418</v>
      </c>
      <c r="Q32" s="1">
        <v>30</v>
      </c>
      <c r="R32" s="118">
        <f t="shared" si="3"/>
        <v>8313.9545914063256</v>
      </c>
      <c r="S32" s="119">
        <f>'[1]Mérida oeste'!F35*1000000</f>
        <v>34808.865083299999</v>
      </c>
      <c r="T32" s="120">
        <f t="shared" si="9"/>
        <v>934.23907743632878</v>
      </c>
      <c r="V32" s="53">
        <f t="shared" si="4"/>
        <v>7418</v>
      </c>
      <c r="W32" s="54">
        <f t="shared" si="10"/>
        <v>261964.22206</v>
      </c>
      <c r="Y32" s="122">
        <f t="shared" si="11"/>
        <v>61.672915159052124</v>
      </c>
      <c r="Z32" s="119">
        <f t="shared" si="12"/>
        <v>258.21216118791943</v>
      </c>
      <c r="AA32" s="120">
        <f t="shared" si="13"/>
        <v>244.73721313866</v>
      </c>
      <c r="AE32" s="2" t="str">
        <f t="shared" si="5"/>
        <v>234318</v>
      </c>
      <c r="AF32" s="45">
        <v>1</v>
      </c>
      <c r="AG32" s="46">
        <v>30</v>
      </c>
      <c r="AH32" s="47">
        <v>234320</v>
      </c>
      <c r="AI32" s="48">
        <f t="shared" si="0"/>
        <v>234318</v>
      </c>
      <c r="AJ32" s="49">
        <f t="shared" si="6"/>
        <v>-2</v>
      </c>
      <c r="AK32" s="3"/>
      <c r="AL32" s="37">
        <f t="shared" si="7"/>
        <v>-234320</v>
      </c>
      <c r="AM32" s="50">
        <f t="shared" si="7"/>
        <v>7418</v>
      </c>
      <c r="AN32" s="51">
        <f t="shared" si="8"/>
        <v>241738</v>
      </c>
      <c r="AO32" s="52">
        <f t="shared" si="1"/>
        <v>32.588029118360744</v>
      </c>
      <c r="AP32" s="3"/>
    </row>
    <row r="33" spans="1:42" ht="13.5" thickBot="1" x14ac:dyDescent="0.25">
      <c r="A33" s="41">
        <v>1</v>
      </c>
      <c r="B33" s="42">
        <v>0.375</v>
      </c>
      <c r="C33" s="43">
        <v>2013</v>
      </c>
      <c r="D33" s="43">
        <v>7</v>
      </c>
      <c r="E33" s="43">
        <v>31</v>
      </c>
      <c r="F33" s="116">
        <v>241736</v>
      </c>
      <c r="G33" s="43">
        <v>0</v>
      </c>
      <c r="H33" s="116">
        <v>1293244</v>
      </c>
      <c r="I33" s="43">
        <v>0</v>
      </c>
      <c r="J33" s="43">
        <v>0</v>
      </c>
      <c r="K33" s="43">
        <v>0</v>
      </c>
      <c r="L33" s="116">
        <v>312.08449999999999</v>
      </c>
      <c r="M33" s="116">
        <v>33.1</v>
      </c>
      <c r="N33" s="44">
        <v>0</v>
      </c>
      <c r="O33" s="117">
        <v>7854</v>
      </c>
      <c r="P33" s="31">
        <f t="shared" si="2"/>
        <v>7854</v>
      </c>
      <c r="Q33" s="1">
        <v>31</v>
      </c>
      <c r="R33" s="123">
        <f t="shared" si="3"/>
        <v>8347.9132988201018</v>
      </c>
      <c r="S33" s="124">
        <f>'[1]Mérida oeste'!F36*1000000</f>
        <v>34951.043399499998</v>
      </c>
      <c r="T33" s="125">
        <f t="shared" si="9"/>
        <v>938.05501738841485</v>
      </c>
      <c r="V33" s="55">
        <f t="shared" si="4"/>
        <v>7854</v>
      </c>
      <c r="W33" s="56">
        <f t="shared" si="10"/>
        <v>277361.41817999998</v>
      </c>
      <c r="Y33" s="122">
        <f t="shared" si="11"/>
        <v>65.564511048933085</v>
      </c>
      <c r="Z33" s="119">
        <f t="shared" si="12"/>
        <v>274.50549485967298</v>
      </c>
      <c r="AA33" s="120">
        <f t="shared" si="13"/>
        <v>260.18026995371531</v>
      </c>
      <c r="AE33" s="2" t="str">
        <f t="shared" si="5"/>
        <v>241736</v>
      </c>
      <c r="AF33" s="45"/>
      <c r="AG33" s="46"/>
      <c r="AH33" s="47"/>
      <c r="AI33" s="48">
        <f t="shared" si="0"/>
        <v>241736</v>
      </c>
      <c r="AJ33" s="49">
        <f t="shared" si="6"/>
        <v>241736</v>
      </c>
      <c r="AK33" s="3"/>
      <c r="AL33" s="37">
        <f t="shared" si="7"/>
        <v>0</v>
      </c>
      <c r="AM33" s="57">
        <f t="shared" si="7"/>
        <v>7854</v>
      </c>
      <c r="AN33" s="51">
        <f t="shared" si="8"/>
        <v>7854</v>
      </c>
      <c r="AO33" s="52">
        <f t="shared" si="1"/>
        <v>1</v>
      </c>
      <c r="AP33" s="3"/>
    </row>
    <row r="34" spans="1:42" ht="13.5" thickBot="1" x14ac:dyDescent="0.25">
      <c r="A34" s="58">
        <v>1</v>
      </c>
      <c r="B34" s="59">
        <v>0.375</v>
      </c>
      <c r="C34" s="60">
        <v>2013</v>
      </c>
      <c r="D34" s="60">
        <v>8</v>
      </c>
      <c r="E34" s="60">
        <v>1</v>
      </c>
      <c r="F34" s="126">
        <v>249590</v>
      </c>
      <c r="G34" s="60">
        <v>0</v>
      </c>
      <c r="H34" s="126">
        <v>1293605</v>
      </c>
      <c r="I34" s="60">
        <v>0</v>
      </c>
      <c r="J34" s="60">
        <v>0</v>
      </c>
      <c r="K34" s="60">
        <v>0</v>
      </c>
      <c r="L34" s="126">
        <v>311.84679999999997</v>
      </c>
      <c r="M34" s="126">
        <v>33.299999999999997</v>
      </c>
      <c r="N34" s="61">
        <v>0</v>
      </c>
      <c r="O34" s="127">
        <v>0</v>
      </c>
      <c r="R34" s="62"/>
      <c r="S34" s="128"/>
      <c r="T34" s="129"/>
      <c r="V34" s="63"/>
      <c r="W34" s="64"/>
      <c r="Y34" s="130"/>
      <c r="Z34" s="131"/>
      <c r="AA34" s="132"/>
      <c r="AE34" s="2" t="str">
        <f t="shared" si="5"/>
        <v>249590</v>
      </c>
      <c r="AF34" s="65"/>
      <c r="AG34" s="66"/>
      <c r="AH34" s="67"/>
      <c r="AI34" s="68">
        <f t="shared" si="0"/>
        <v>249590</v>
      </c>
      <c r="AJ34" s="69">
        <f t="shared" si="6"/>
        <v>249590</v>
      </c>
      <c r="AK34" s="3"/>
      <c r="AL34" s="70"/>
      <c r="AM34" s="71"/>
      <c r="AN34" s="72"/>
      <c r="AO34" s="72"/>
      <c r="AP34" s="3"/>
    </row>
    <row r="35" spans="1:42" ht="13.5" thickBot="1" x14ac:dyDescent="0.25">
      <c r="AE35" s="2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</row>
    <row r="36" spans="1:42" ht="13.5" thickBot="1" x14ac:dyDescent="0.25">
      <c r="D36" s="73" t="s">
        <v>33</v>
      </c>
      <c r="E36" s="74">
        <f>COUNT(E3:E34)</f>
        <v>32</v>
      </c>
      <c r="K36" s="73" t="s">
        <v>34</v>
      </c>
      <c r="L36" s="133">
        <f>MAX(L3:L34)</f>
        <v>313.11869999999999</v>
      </c>
      <c r="M36" s="133">
        <f>MAX(M3:M34)</f>
        <v>33.299999999999997</v>
      </c>
      <c r="N36" s="73" t="s">
        <v>35</v>
      </c>
      <c r="O36" s="133">
        <f>SUM(O3:O33)</f>
        <v>205974</v>
      </c>
      <c r="Q36" s="73" t="s">
        <v>36</v>
      </c>
      <c r="R36" s="75">
        <f>AVERAGE(R3:R33)</f>
        <v>8297.4852006189958</v>
      </c>
      <c r="S36" s="75">
        <f>AVERAGE(S3:S33)</f>
        <v>34739.911037951621</v>
      </c>
      <c r="T36" s="76">
        <f>AVERAGE(T3:T33)</f>
        <v>932.38841199355682</v>
      </c>
      <c r="V36" s="77">
        <f>SUM(V3:V33)</f>
        <v>205974</v>
      </c>
      <c r="W36" s="78">
        <f>SUM(W3:W33)</f>
        <v>7273903.8385800002</v>
      </c>
      <c r="Y36" s="79">
        <f>SUM(Y3:Y33)</f>
        <v>1709.8184866434424</v>
      </c>
      <c r="Z36" s="80">
        <f>SUM(Z3:Z33)</f>
        <v>7158.668039878763</v>
      </c>
      <c r="AA36" s="81">
        <f>SUM(AA3:AA33)</f>
        <v>6785.0888889376192</v>
      </c>
      <c r="AE36" s="2"/>
      <c r="AF36" s="82" t="s">
        <v>37</v>
      </c>
      <c r="AG36" s="83">
        <f>COUNT(AG3:AG34)</f>
        <v>24</v>
      </c>
      <c r="AH36" s="3"/>
      <c r="AI36" s="3"/>
      <c r="AJ36" s="84">
        <f>SUM(AJ3:AJ33)</f>
        <v>1037458</v>
      </c>
      <c r="AK36" s="85" t="s">
        <v>38</v>
      </c>
      <c r="AL36" s="86"/>
      <c r="AM36" s="86"/>
      <c r="AN36" s="84">
        <f>SUM(AN3:AN33)</f>
        <v>249599</v>
      </c>
      <c r="AO36" s="87" t="s">
        <v>38</v>
      </c>
      <c r="AP36" s="3"/>
    </row>
    <row r="37" spans="1:42" ht="13.5" thickBot="1" x14ac:dyDescent="0.25">
      <c r="K37" s="73" t="s">
        <v>36</v>
      </c>
      <c r="L37" s="134">
        <f>AVERAGE(L3:L34)</f>
        <v>305.36584375000001</v>
      </c>
      <c r="M37" s="134">
        <f>AVERAGE(M3:M34)</f>
        <v>31.453125</v>
      </c>
      <c r="N37" s="73" t="s">
        <v>39</v>
      </c>
      <c r="O37" s="135">
        <f>O36*35.31467</f>
        <v>7273903.8385800002</v>
      </c>
      <c r="R37" s="88" t="s">
        <v>40</v>
      </c>
      <c r="S37" s="88" t="s">
        <v>41</v>
      </c>
      <c r="T37" s="88" t="s">
        <v>42</v>
      </c>
      <c r="V37" s="89" t="s">
        <v>38</v>
      </c>
      <c r="W37" s="89" t="s">
        <v>38</v>
      </c>
      <c r="Y37" s="89" t="s">
        <v>38</v>
      </c>
      <c r="Z37" s="89" t="s">
        <v>38</v>
      </c>
      <c r="AA37" s="89" t="s">
        <v>38</v>
      </c>
      <c r="AE37" s="2"/>
      <c r="AF37" s="82" t="s">
        <v>43</v>
      </c>
      <c r="AG37" s="90">
        <f>COUNT(E3:E34)-COUNT(AG3:AG34)</f>
        <v>8</v>
      </c>
      <c r="AH37" s="3"/>
      <c r="AI37" s="3"/>
      <c r="AJ37" s="3"/>
      <c r="AK37" s="3"/>
      <c r="AL37" s="3"/>
      <c r="AM37" s="3"/>
      <c r="AN37" s="91">
        <f>IFERROR(AN36/SUM(AM3:AM33),"")</f>
        <v>1.2117985765193666</v>
      </c>
      <c r="AO37" s="87" t="s">
        <v>44</v>
      </c>
      <c r="AP37" s="3"/>
    </row>
    <row r="38" spans="1:42" ht="13.5" thickBot="1" x14ac:dyDescent="0.25">
      <c r="K38" s="73" t="s">
        <v>45</v>
      </c>
      <c r="L38" s="135">
        <f>MIN(L3:L34)</f>
        <v>179.04159999999999</v>
      </c>
      <c r="M38" s="135">
        <f>MIN(M3:M34)</f>
        <v>27</v>
      </c>
      <c r="V38" s="92" t="s">
        <v>35</v>
      </c>
      <c r="W38" s="92" t="s">
        <v>46</v>
      </c>
      <c r="Y38" s="92" t="s">
        <v>47</v>
      </c>
      <c r="Z38" s="92" t="s">
        <v>48</v>
      </c>
      <c r="AA38" s="92" t="s">
        <v>49</v>
      </c>
      <c r="AE38" s="2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</row>
    <row r="39" spans="1:42" ht="13.5" thickBot="1" x14ac:dyDescent="0.25">
      <c r="L39" s="93" t="s">
        <v>50</v>
      </c>
      <c r="M39" s="92" t="s">
        <v>51</v>
      </c>
      <c r="AE39" s="2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</row>
    <row r="40" spans="1:42" ht="13.5" thickBot="1" x14ac:dyDescent="0.25">
      <c r="AE40" s="2"/>
      <c r="AF40" s="82" t="s">
        <v>52</v>
      </c>
      <c r="AG40" s="83">
        <v>1</v>
      </c>
      <c r="AH40" s="3" t="s">
        <v>35</v>
      </c>
      <c r="AI40" s="3"/>
      <c r="AJ40" s="3"/>
      <c r="AK40" s="3"/>
      <c r="AL40" s="3"/>
      <c r="AM40" s="3"/>
      <c r="AN40" s="3"/>
      <c r="AO40" s="3"/>
      <c r="AP40" s="3"/>
    </row>
    <row r="41" spans="1:42" ht="13.5" thickBot="1" x14ac:dyDescent="0.25">
      <c r="AE41" s="2"/>
      <c r="AF41" s="82" t="s">
        <v>53</v>
      </c>
      <c r="AG41" s="94">
        <v>0.01</v>
      </c>
      <c r="AH41" s="3"/>
      <c r="AI41" s="3"/>
      <c r="AJ41" s="3"/>
      <c r="AK41" s="3"/>
      <c r="AL41" s="3"/>
      <c r="AM41" s="3"/>
      <c r="AN41" s="3"/>
      <c r="AO41" s="3"/>
      <c r="AP41" s="3"/>
    </row>
    <row r="42" spans="1:42" x14ac:dyDescent="0.2">
      <c r="AE42" s="2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</row>
    <row r="43" spans="1:42" x14ac:dyDescent="0.2">
      <c r="K43" s="95" t="s">
        <v>54</v>
      </c>
      <c r="L43" s="96">
        <v>0.1</v>
      </c>
      <c r="M43" s="95"/>
      <c r="AE43" s="2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</row>
    <row r="44" spans="1:42" x14ac:dyDescent="0.2">
      <c r="K44" s="97" t="s">
        <v>55</v>
      </c>
      <c r="L44" s="136">
        <f>L37*(1+$L$43)</f>
        <v>335.90242812500003</v>
      </c>
      <c r="M44" s="136">
        <f>M37*(1+$L$43)</f>
        <v>34.598437500000003</v>
      </c>
    </row>
    <row r="45" spans="1:42" x14ac:dyDescent="0.2">
      <c r="K45" s="97" t="s">
        <v>56</v>
      </c>
      <c r="L45" s="136">
        <f>L37*(1-$L$43)</f>
        <v>274.82925937499999</v>
      </c>
      <c r="M45" s="136">
        <f>M37*(1-$L$43)</f>
        <v>28.307812500000001</v>
      </c>
    </row>
    <row r="47" spans="1:42" x14ac:dyDescent="0.2">
      <c r="A47" s="73" t="s">
        <v>57</v>
      </c>
      <c r="B47" s="99" t="s">
        <v>58</v>
      </c>
    </row>
    <row r="48" spans="1:42" x14ac:dyDescent="0.2">
      <c r="A48" s="73" t="s">
        <v>59</v>
      </c>
      <c r="B48" s="100">
        <v>40582</v>
      </c>
    </row>
  </sheetData>
  <conditionalFormatting sqref="L3:L34">
    <cfRule type="cellIs" dxfId="47" priority="47" stopIfTrue="1" operator="lessThan">
      <formula>$L$45</formula>
    </cfRule>
    <cfRule type="cellIs" dxfId="46" priority="48" stopIfTrue="1" operator="greaterThan">
      <formula>$L$44</formula>
    </cfRule>
  </conditionalFormatting>
  <conditionalFormatting sqref="M3:M34">
    <cfRule type="cellIs" dxfId="45" priority="45" stopIfTrue="1" operator="lessThan">
      <formula>$M$45</formula>
    </cfRule>
    <cfRule type="cellIs" dxfId="44" priority="46" stopIfTrue="1" operator="greaterThan">
      <formula>$M$44</formula>
    </cfRule>
  </conditionalFormatting>
  <conditionalFormatting sqref="O3:O34">
    <cfRule type="cellIs" dxfId="43" priority="44" stopIfTrue="1" operator="lessThan">
      <formula>0</formula>
    </cfRule>
  </conditionalFormatting>
  <conditionalFormatting sqref="O3:O33">
    <cfRule type="cellIs" dxfId="42" priority="43" stopIfTrue="1" operator="lessThan">
      <formula>0</formula>
    </cfRule>
  </conditionalFormatting>
  <conditionalFormatting sqref="O3">
    <cfRule type="cellIs" dxfId="41" priority="42" stopIfTrue="1" operator="notEqual">
      <formula>$P$3</formula>
    </cfRule>
  </conditionalFormatting>
  <conditionalFormatting sqref="O4">
    <cfRule type="cellIs" dxfId="40" priority="41" stopIfTrue="1" operator="notEqual">
      <formula>P$4</formula>
    </cfRule>
  </conditionalFormatting>
  <conditionalFormatting sqref="O5">
    <cfRule type="cellIs" dxfId="39" priority="40" stopIfTrue="1" operator="notEqual">
      <formula>$P$5</formula>
    </cfRule>
  </conditionalFormatting>
  <conditionalFormatting sqref="O6">
    <cfRule type="cellIs" dxfId="38" priority="39" stopIfTrue="1" operator="notEqual">
      <formula>$P$6</formula>
    </cfRule>
  </conditionalFormatting>
  <conditionalFormatting sqref="O7">
    <cfRule type="cellIs" dxfId="37" priority="38" stopIfTrue="1" operator="notEqual">
      <formula>$P$7</formula>
    </cfRule>
  </conditionalFormatting>
  <conditionalFormatting sqref="O8">
    <cfRule type="cellIs" dxfId="36" priority="37" stopIfTrue="1" operator="notEqual">
      <formula>$P$8</formula>
    </cfRule>
  </conditionalFormatting>
  <conditionalFormatting sqref="O9">
    <cfRule type="cellIs" dxfId="35" priority="36" stopIfTrue="1" operator="notEqual">
      <formula>$P$9</formula>
    </cfRule>
  </conditionalFormatting>
  <conditionalFormatting sqref="O10">
    <cfRule type="cellIs" dxfId="34" priority="34" stopIfTrue="1" operator="notEqual">
      <formula>$P$10</formula>
    </cfRule>
    <cfRule type="cellIs" dxfId="33" priority="35" stopIfTrue="1" operator="greaterThan">
      <formula>$P$10</formula>
    </cfRule>
  </conditionalFormatting>
  <conditionalFormatting sqref="O11">
    <cfRule type="cellIs" dxfId="32" priority="32" stopIfTrue="1" operator="notEqual">
      <formula>$P$11</formula>
    </cfRule>
    <cfRule type="cellIs" dxfId="31" priority="33" stopIfTrue="1" operator="greaterThan">
      <formula>$P$11</formula>
    </cfRule>
  </conditionalFormatting>
  <conditionalFormatting sqref="O12">
    <cfRule type="cellIs" dxfId="30" priority="31" stopIfTrue="1" operator="notEqual">
      <formula>$P$12</formula>
    </cfRule>
  </conditionalFormatting>
  <conditionalFormatting sqref="O14">
    <cfRule type="cellIs" dxfId="29" priority="30" stopIfTrue="1" operator="notEqual">
      <formula>$P$14</formula>
    </cfRule>
  </conditionalFormatting>
  <conditionalFormatting sqref="O15">
    <cfRule type="cellIs" dxfId="28" priority="29" stopIfTrue="1" operator="notEqual">
      <formula>$P$15</formula>
    </cfRule>
  </conditionalFormatting>
  <conditionalFormatting sqref="O16">
    <cfRule type="cellIs" dxfId="27" priority="28" stopIfTrue="1" operator="notEqual">
      <formula>$P$16</formula>
    </cfRule>
  </conditionalFormatting>
  <conditionalFormatting sqref="O17">
    <cfRule type="cellIs" dxfId="26" priority="27" stopIfTrue="1" operator="notEqual">
      <formula>$P$17</formula>
    </cfRule>
  </conditionalFormatting>
  <conditionalFormatting sqref="O18">
    <cfRule type="cellIs" dxfId="25" priority="26" stopIfTrue="1" operator="notEqual">
      <formula>$P$18</formula>
    </cfRule>
  </conditionalFormatting>
  <conditionalFormatting sqref="O19">
    <cfRule type="cellIs" dxfId="24" priority="24" stopIfTrue="1" operator="notEqual">
      <formula>$P$19</formula>
    </cfRule>
    <cfRule type="cellIs" dxfId="23" priority="25" stopIfTrue="1" operator="greaterThan">
      <formula>$P$19</formula>
    </cfRule>
  </conditionalFormatting>
  <conditionalFormatting sqref="O20">
    <cfRule type="cellIs" dxfId="22" priority="22" stopIfTrue="1" operator="notEqual">
      <formula>$P$20</formula>
    </cfRule>
    <cfRule type="cellIs" dxfId="21" priority="23" stopIfTrue="1" operator="greaterThan">
      <formula>$P$20</formula>
    </cfRule>
  </conditionalFormatting>
  <conditionalFormatting sqref="O21">
    <cfRule type="cellIs" dxfId="20" priority="21" stopIfTrue="1" operator="notEqual">
      <formula>$P$21</formula>
    </cfRule>
  </conditionalFormatting>
  <conditionalFormatting sqref="O22">
    <cfRule type="cellIs" dxfId="19" priority="20" stopIfTrue="1" operator="notEqual">
      <formula>$P$22</formula>
    </cfRule>
  </conditionalFormatting>
  <conditionalFormatting sqref="O23">
    <cfRule type="cellIs" dxfId="18" priority="19" stopIfTrue="1" operator="notEqual">
      <formula>$P$23</formula>
    </cfRule>
  </conditionalFormatting>
  <conditionalFormatting sqref="O24">
    <cfRule type="cellIs" dxfId="17" priority="17" stopIfTrue="1" operator="notEqual">
      <formula>$P$24</formula>
    </cfRule>
    <cfRule type="cellIs" dxfId="16" priority="18" stopIfTrue="1" operator="greaterThan">
      <formula>$P$24</formula>
    </cfRule>
  </conditionalFormatting>
  <conditionalFormatting sqref="O25">
    <cfRule type="cellIs" dxfId="15" priority="15" stopIfTrue="1" operator="notEqual">
      <formula>$P$25</formula>
    </cfRule>
    <cfRule type="cellIs" dxfId="14" priority="16" stopIfTrue="1" operator="greaterThan">
      <formula>$P$25</formula>
    </cfRule>
  </conditionalFormatting>
  <conditionalFormatting sqref="O26">
    <cfRule type="cellIs" dxfId="13" priority="14" stopIfTrue="1" operator="notEqual">
      <formula>$P$26</formula>
    </cfRule>
  </conditionalFormatting>
  <conditionalFormatting sqref="O27">
    <cfRule type="cellIs" dxfId="12" priority="13" stopIfTrue="1" operator="notEqual">
      <formula>$P$27</formula>
    </cfRule>
  </conditionalFormatting>
  <conditionalFormatting sqref="O28">
    <cfRule type="cellIs" dxfId="11" priority="12" stopIfTrue="1" operator="notEqual">
      <formula>$P$28</formula>
    </cfRule>
  </conditionalFormatting>
  <conditionalFormatting sqref="O29">
    <cfRule type="cellIs" dxfId="10" priority="11" stopIfTrue="1" operator="notEqual">
      <formula>$P$29</formula>
    </cfRule>
  </conditionalFormatting>
  <conditionalFormatting sqref="O30">
    <cfRule type="cellIs" dxfId="9" priority="10" stopIfTrue="1" operator="notEqual">
      <formula>$P$30</formula>
    </cfRule>
  </conditionalFormatting>
  <conditionalFormatting sqref="O31">
    <cfRule type="cellIs" dxfId="8" priority="8" stopIfTrue="1" operator="notEqual">
      <formula>$P$31</formula>
    </cfRule>
    <cfRule type="cellIs" dxfId="7" priority="9" stopIfTrue="1" operator="greaterThan">
      <formula>$P$31</formula>
    </cfRule>
  </conditionalFormatting>
  <conditionalFormatting sqref="O32">
    <cfRule type="cellIs" dxfId="6" priority="6" stopIfTrue="1" operator="notEqual">
      <formula>$P$32</formula>
    </cfRule>
    <cfRule type="cellIs" dxfId="5" priority="7" stopIfTrue="1" operator="greaterThan">
      <formula>$P$32</formula>
    </cfRule>
  </conditionalFormatting>
  <conditionalFormatting sqref="O33">
    <cfRule type="cellIs" dxfId="4" priority="5" stopIfTrue="1" operator="notEqual">
      <formula>$P$33</formula>
    </cfRule>
  </conditionalFormatting>
  <conditionalFormatting sqref="O13">
    <cfRule type="cellIs" dxfId="3" priority="4" stopIfTrue="1" operator="notEqual">
      <formula>$P$13</formula>
    </cfRule>
  </conditionalFormatting>
  <conditionalFormatting sqref="AG3:AG34">
    <cfRule type="cellIs" dxfId="2" priority="3" stopIfTrue="1" operator="notEqual">
      <formula>E3</formula>
    </cfRule>
  </conditionalFormatting>
  <conditionalFormatting sqref="AH3:AH34">
    <cfRule type="cellIs" dxfId="1" priority="2" stopIfTrue="1" operator="notBetween">
      <formula>AI3+$AG$40</formula>
      <formula>AI3-$AG$40</formula>
    </cfRule>
  </conditionalFormatting>
  <conditionalFormatting sqref="AL3:AL33">
    <cfRule type="cellIs" dxfId="0" priority="1" stopIfTrue="1" operator="notBetween">
      <formula>AM3*(1+$AG$41)</formula>
      <formula>AM3*(1-$AG$41)</formula>
    </cfRule>
  </conditionalFormatting>
  <pageMargins left="0.75" right="0.75" top="1" bottom="1" header="0" footer="0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55"/>
  <sheetViews>
    <sheetView topLeftCell="A22" zoomScale="85" workbookViewId="0">
      <selection sqref="A1:H1"/>
    </sheetView>
  </sheetViews>
  <sheetFormatPr baseColWidth="10" defaultColWidth="9.140625" defaultRowHeight="12.75" x14ac:dyDescent="0.2"/>
  <cols>
    <col min="1" max="1" width="5.5703125" style="141" customWidth="1"/>
    <col min="2" max="3" width="7.7109375" style="141" customWidth="1"/>
    <col min="4" max="4" width="14.85546875" style="143" customWidth="1"/>
    <col min="5" max="5" width="16.140625" style="141" customWidth="1"/>
    <col min="6" max="6" width="12.85546875" style="141" bestFit="1" customWidth="1"/>
    <col min="7" max="10" width="9.140625" style="141" customWidth="1"/>
    <col min="11" max="11" width="11.7109375" style="141" bestFit="1" customWidth="1"/>
    <col min="12" max="12" width="10.140625" style="141" bestFit="1" customWidth="1"/>
    <col min="13" max="16384" width="9.140625" style="141"/>
  </cols>
  <sheetData>
    <row r="1" spans="1:18" s="102" customFormat="1" x14ac:dyDescent="0.2">
      <c r="A1" s="169" t="s">
        <v>60</v>
      </c>
      <c r="B1" s="169"/>
      <c r="C1" s="169"/>
      <c r="D1" s="169"/>
      <c r="E1" s="169"/>
      <c r="F1" s="169"/>
      <c r="G1" s="169"/>
      <c r="H1" s="169"/>
      <c r="I1" s="101"/>
      <c r="J1" s="101"/>
      <c r="K1" s="101"/>
      <c r="L1" s="101"/>
      <c r="M1" s="101"/>
      <c r="N1" s="101"/>
      <c r="O1" s="101"/>
      <c r="P1" s="101"/>
      <c r="Q1" s="101"/>
      <c r="R1" s="101"/>
    </row>
    <row r="2" spans="1:18" s="102" customFormat="1" x14ac:dyDescent="0.2">
      <c r="A2" s="170" t="s">
        <v>61</v>
      </c>
      <c r="B2" s="170"/>
      <c r="C2" s="170"/>
      <c r="D2" s="170"/>
      <c r="E2" s="170"/>
      <c r="F2" s="170"/>
      <c r="G2" s="170"/>
      <c r="H2" s="170"/>
      <c r="I2" s="103"/>
      <c r="J2" s="103"/>
      <c r="K2" s="103"/>
      <c r="L2" s="103"/>
      <c r="M2" s="103"/>
      <c r="N2" s="103"/>
      <c r="O2" s="103"/>
      <c r="P2" s="103"/>
      <c r="Q2" s="103"/>
      <c r="R2" s="103"/>
    </row>
    <row r="3" spans="1:18" s="102" customFormat="1" x14ac:dyDescent="0.2">
      <c r="A3" s="170" t="s">
        <v>62</v>
      </c>
      <c r="B3" s="170"/>
      <c r="C3" s="170"/>
      <c r="D3" s="170"/>
      <c r="E3" s="170"/>
      <c r="F3" s="170"/>
      <c r="G3" s="170"/>
      <c r="H3" s="170"/>
      <c r="I3" s="103"/>
      <c r="J3" s="103"/>
      <c r="K3" s="103"/>
      <c r="L3" s="103"/>
      <c r="M3" s="103"/>
      <c r="N3" s="103"/>
      <c r="O3" s="103"/>
      <c r="P3" s="103"/>
      <c r="Q3" s="103"/>
      <c r="R3" s="103"/>
    </row>
    <row r="4" spans="1:18" s="102" customFormat="1" x14ac:dyDescent="0.2">
      <c r="A4" s="103"/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103"/>
      <c r="P4" s="103"/>
      <c r="Q4" s="103"/>
      <c r="R4" s="103"/>
    </row>
    <row r="5" spans="1:18" s="102" customFormat="1" x14ac:dyDescent="0.2">
      <c r="A5" s="137"/>
      <c r="B5" s="137"/>
      <c r="C5" s="137"/>
      <c r="D5" s="137"/>
      <c r="E5" s="137"/>
      <c r="F5" s="137"/>
      <c r="G5" s="137"/>
      <c r="H5" s="137"/>
      <c r="I5" s="137"/>
      <c r="J5" s="137"/>
      <c r="K5" s="137"/>
      <c r="L5" s="137"/>
      <c r="M5" s="137"/>
      <c r="N5" s="138"/>
      <c r="O5" s="139"/>
      <c r="P5" s="140"/>
    </row>
    <row r="6" spans="1:18" s="102" customFormat="1" x14ac:dyDescent="0.2">
      <c r="A6" s="171" t="s">
        <v>75</v>
      </c>
      <c r="B6" s="171"/>
      <c r="C6" s="171"/>
      <c r="D6" s="171"/>
      <c r="E6" s="171"/>
      <c r="F6" s="171"/>
      <c r="G6" s="171"/>
      <c r="H6" s="171"/>
      <c r="I6" s="104"/>
      <c r="J6" s="104"/>
      <c r="K6" s="104"/>
      <c r="L6" s="104"/>
      <c r="M6" s="104"/>
      <c r="N6" s="104"/>
      <c r="O6" s="104"/>
      <c r="P6" s="104"/>
      <c r="Q6" s="104"/>
      <c r="R6" s="104"/>
    </row>
    <row r="7" spans="1:18" s="102" customFormat="1" x14ac:dyDescent="0.2">
      <c r="A7" s="172" t="s">
        <v>76</v>
      </c>
      <c r="B7" s="172"/>
      <c r="C7" s="172"/>
      <c r="D7" s="172"/>
      <c r="E7" s="172"/>
      <c r="F7" s="172"/>
      <c r="G7" s="172"/>
      <c r="H7" s="172"/>
      <c r="I7" s="105"/>
      <c r="J7" s="105"/>
      <c r="K7" s="105"/>
      <c r="L7" s="105"/>
      <c r="M7" s="105"/>
      <c r="N7" s="105"/>
      <c r="O7" s="105"/>
      <c r="P7" s="105"/>
      <c r="Q7" s="101"/>
      <c r="R7" s="101"/>
    </row>
    <row r="9" spans="1:18" ht="15.75" x14ac:dyDescent="0.25">
      <c r="B9" s="142"/>
    </row>
    <row r="12" spans="1:18" ht="39" x14ac:dyDescent="0.25">
      <c r="B12" s="173" t="s">
        <v>5</v>
      </c>
      <c r="C12" s="174"/>
      <c r="D12" s="144" t="s">
        <v>63</v>
      </c>
      <c r="E12" s="177" t="s">
        <v>77</v>
      </c>
      <c r="F12" s="178"/>
    </row>
    <row r="13" spans="1:18" ht="15" customHeight="1" x14ac:dyDescent="0.2">
      <c r="B13" s="175"/>
      <c r="C13" s="176"/>
      <c r="D13" s="145" t="s">
        <v>64</v>
      </c>
      <c r="E13" s="146" t="s">
        <v>65</v>
      </c>
      <c r="F13" s="147" t="s">
        <v>66</v>
      </c>
      <c r="K13" s="148"/>
      <c r="L13" s="148"/>
    </row>
    <row r="14" spans="1:18" ht="14.25" x14ac:dyDescent="0.2">
      <c r="B14" s="149">
        <f>'[1]Días laborados'!A11</f>
        <v>41456</v>
      </c>
      <c r="C14" s="150">
        <f>B14</f>
        <v>41456</v>
      </c>
      <c r="D14" s="151">
        <f>'[1]Mérida oeste'!F6</f>
        <v>3.47247804866E-2</v>
      </c>
      <c r="E14" s="152">
        <f>GAMESA!O3</f>
        <v>971</v>
      </c>
      <c r="F14" s="152">
        <f>D14*E14</f>
        <v>33.7177618524886</v>
      </c>
      <c r="L14" s="153"/>
    </row>
    <row r="15" spans="1:18" ht="14.25" x14ac:dyDescent="0.2">
      <c r="B15" s="149">
        <f>'[1]Días laborados'!A12</f>
        <v>41457</v>
      </c>
      <c r="C15" s="150">
        <f t="shared" ref="C15:C44" si="0">B15</f>
        <v>41457</v>
      </c>
      <c r="D15" s="151">
        <f>'[1]Mérida oeste'!F7</f>
        <v>3.4826246297300002E-2</v>
      </c>
      <c r="E15" s="152">
        <f>GAMESA!O4</f>
        <v>4156</v>
      </c>
      <c r="F15" s="152">
        <f t="shared" ref="F15:F41" si="1">D15*E15</f>
        <v>144.73787961157882</v>
      </c>
      <c r="L15" s="153"/>
    </row>
    <row r="16" spans="1:18" ht="14.25" x14ac:dyDescent="0.2">
      <c r="B16" s="149">
        <f>'[1]Días laborados'!A13</f>
        <v>41458</v>
      </c>
      <c r="C16" s="150">
        <f t="shared" si="0"/>
        <v>41458</v>
      </c>
      <c r="D16" s="151">
        <f>'[1]Mérida oeste'!F8</f>
        <v>3.4399586372000003E-2</v>
      </c>
      <c r="E16" s="152">
        <f>GAMESA!O5</f>
        <v>4191</v>
      </c>
      <c r="F16" s="152">
        <f t="shared" si="1"/>
        <v>144.168666485052</v>
      </c>
      <c r="L16" s="153"/>
    </row>
    <row r="17" spans="2:12" ht="14.25" x14ac:dyDescent="0.2">
      <c r="B17" s="149">
        <f>'[1]Días laborados'!A14</f>
        <v>41459</v>
      </c>
      <c r="C17" s="150">
        <f t="shared" si="0"/>
        <v>41459</v>
      </c>
      <c r="D17" s="151">
        <f>'[1]Mérida oeste'!F9</f>
        <v>3.4559190587299997E-2</v>
      </c>
      <c r="E17" s="152">
        <f>GAMESA!O6</f>
        <v>4052</v>
      </c>
      <c r="F17" s="152">
        <f t="shared" si="1"/>
        <v>140.03384025973958</v>
      </c>
      <c r="L17" s="153"/>
    </row>
    <row r="18" spans="2:12" ht="14.25" x14ac:dyDescent="0.2">
      <c r="B18" s="149">
        <f>'[1]Días laborados'!A15</f>
        <v>41460</v>
      </c>
      <c r="C18" s="150">
        <f t="shared" si="0"/>
        <v>41460</v>
      </c>
      <c r="D18" s="151">
        <f>'[1]Mérida oeste'!F10</f>
        <v>3.45093055907E-2</v>
      </c>
      <c r="E18" s="152">
        <f>GAMESA!O7</f>
        <v>3791</v>
      </c>
      <c r="F18" s="152">
        <f t="shared" si="1"/>
        <v>130.82477749434369</v>
      </c>
      <c r="L18" s="153"/>
    </row>
    <row r="19" spans="2:12" ht="14.25" x14ac:dyDescent="0.2">
      <c r="B19" s="149">
        <f>'[1]Días laborados'!A16</f>
        <v>41461</v>
      </c>
      <c r="C19" s="150">
        <f t="shared" si="0"/>
        <v>41461</v>
      </c>
      <c r="D19" s="151">
        <f>'[1]Mérida oeste'!F11</f>
        <v>3.5525620783799998E-2</v>
      </c>
      <c r="E19" s="152">
        <f>GAMESA!O8</f>
        <v>2687</v>
      </c>
      <c r="F19" s="152">
        <f t="shared" si="1"/>
        <v>95.457343046070591</v>
      </c>
      <c r="L19" s="153"/>
    </row>
    <row r="20" spans="2:12" ht="14.25" x14ac:dyDescent="0.2">
      <c r="B20" s="149">
        <f>'[1]Días laborados'!A17</f>
        <v>41462</v>
      </c>
      <c r="C20" s="150">
        <f t="shared" si="0"/>
        <v>41462</v>
      </c>
      <c r="D20" s="151">
        <f>'[1]Mérida oeste'!F12</f>
        <v>3.4532081120000002E-2</v>
      </c>
      <c r="E20" s="152">
        <f>GAMESA!O9</f>
        <v>679</v>
      </c>
      <c r="F20" s="152">
        <f t="shared" si="1"/>
        <v>23.447283080480002</v>
      </c>
      <c r="L20" s="153"/>
    </row>
    <row r="21" spans="2:12" ht="14.25" x14ac:dyDescent="0.2">
      <c r="B21" s="149">
        <f>'[1]Días laborados'!A18</f>
        <v>41463</v>
      </c>
      <c r="C21" s="150">
        <f t="shared" si="0"/>
        <v>41463</v>
      </c>
      <c r="D21" s="151">
        <f>'[1]Mérida oeste'!F13</f>
        <v>3.4631416904399998E-2</v>
      </c>
      <c r="E21" s="152">
        <f>GAMESA!O10</f>
        <v>3966</v>
      </c>
      <c r="F21" s="152">
        <f t="shared" si="1"/>
        <v>137.34819944285039</v>
      </c>
      <c r="L21" s="153"/>
    </row>
    <row r="22" spans="2:12" ht="14.25" x14ac:dyDescent="0.2">
      <c r="B22" s="149">
        <f>'[1]Días laborados'!A19</f>
        <v>41464</v>
      </c>
      <c r="C22" s="150">
        <f t="shared" si="0"/>
        <v>41464</v>
      </c>
      <c r="D22" s="151">
        <f>'[1]Mérida oeste'!F14</f>
        <v>3.4427882907200003E-2</v>
      </c>
      <c r="E22" s="152">
        <f>GAMESA!O11</f>
        <v>3894</v>
      </c>
      <c r="F22" s="152">
        <f t="shared" si="1"/>
        <v>134.06217604063681</v>
      </c>
      <c r="L22" s="153"/>
    </row>
    <row r="23" spans="2:12" ht="14.25" x14ac:dyDescent="0.2">
      <c r="B23" s="149">
        <f>'[1]Días laborados'!A20</f>
        <v>41465</v>
      </c>
      <c r="C23" s="150">
        <f t="shared" si="0"/>
        <v>41465</v>
      </c>
      <c r="D23" s="151">
        <f>'[1]Mérida oeste'!F15</f>
        <v>3.4441979319199997E-2</v>
      </c>
      <c r="E23" s="152">
        <f>GAMESA!O12</f>
        <v>3967</v>
      </c>
      <c r="F23" s="152">
        <f t="shared" si="1"/>
        <v>136.63133195926639</v>
      </c>
      <c r="L23" s="153"/>
    </row>
    <row r="24" spans="2:12" ht="14.25" x14ac:dyDescent="0.2">
      <c r="B24" s="149">
        <f>'[1]Días laborados'!A21</f>
        <v>41466</v>
      </c>
      <c r="C24" s="150">
        <f t="shared" si="0"/>
        <v>41466</v>
      </c>
      <c r="D24" s="151">
        <f>'[1]Mérida oeste'!F16</f>
        <v>3.44167669817E-2</v>
      </c>
      <c r="E24" s="152">
        <f>GAMESA!O13</f>
        <v>3958</v>
      </c>
      <c r="F24" s="152">
        <f t="shared" si="1"/>
        <v>136.2215637135686</v>
      </c>
      <c r="L24" s="153"/>
    </row>
    <row r="25" spans="2:12" ht="14.25" x14ac:dyDescent="0.2">
      <c r="B25" s="149">
        <f>'[1]Días laborados'!A22</f>
        <v>41467</v>
      </c>
      <c r="C25" s="150">
        <f t="shared" si="0"/>
        <v>41467</v>
      </c>
      <c r="D25" s="151">
        <f>'[1]Mérida oeste'!F17</f>
        <v>3.4446279066500003E-2</v>
      </c>
      <c r="E25" s="152">
        <f>GAMESA!O14</f>
        <v>4015</v>
      </c>
      <c r="F25" s="152">
        <f t="shared" si="1"/>
        <v>138.30181045199751</v>
      </c>
      <c r="L25" s="153"/>
    </row>
    <row r="26" spans="2:12" ht="14.25" x14ac:dyDescent="0.2">
      <c r="B26" s="149">
        <f>'[1]Días laborados'!A23</f>
        <v>41468</v>
      </c>
      <c r="C26" s="150">
        <f t="shared" si="0"/>
        <v>41468</v>
      </c>
      <c r="D26" s="151">
        <f>'[1]Mérida oeste'!F18</f>
        <v>3.4851054663200001E-2</v>
      </c>
      <c r="E26" s="152">
        <f>GAMESA!O15</f>
        <v>4156</v>
      </c>
      <c r="F26" s="152">
        <f t="shared" si="1"/>
        <v>144.8409831802592</v>
      </c>
      <c r="L26" s="153"/>
    </row>
    <row r="27" spans="2:12" ht="14.25" x14ac:dyDescent="0.2">
      <c r="B27" s="149">
        <f>'[1]Días laborados'!A24</f>
        <v>41469</v>
      </c>
      <c r="C27" s="150">
        <f t="shared" si="0"/>
        <v>41469</v>
      </c>
      <c r="D27" s="151">
        <f>'[1]Mérida oeste'!F19</f>
        <v>3.47785583335E-2</v>
      </c>
      <c r="E27" s="152">
        <f>GAMESA!O16</f>
        <v>4070</v>
      </c>
      <c r="F27" s="152">
        <f t="shared" si="1"/>
        <v>141.54873241734501</v>
      </c>
      <c r="L27" s="153"/>
    </row>
    <row r="28" spans="2:12" ht="14.25" x14ac:dyDescent="0.2">
      <c r="B28" s="149">
        <f>'[1]Días laborados'!A25</f>
        <v>41470</v>
      </c>
      <c r="C28" s="150">
        <f t="shared" si="0"/>
        <v>41470</v>
      </c>
      <c r="D28" s="151">
        <f>'[1]Mérida oeste'!F20</f>
        <v>3.4355701757599999E-2</v>
      </c>
      <c r="E28" s="152">
        <f>GAMESA!O17</f>
        <v>3668</v>
      </c>
      <c r="F28" s="152">
        <f t="shared" si="1"/>
        <v>126.0167140468768</v>
      </c>
      <c r="L28" s="153"/>
    </row>
    <row r="29" spans="2:12" ht="14.25" x14ac:dyDescent="0.2">
      <c r="B29" s="149">
        <f>'[1]Días laborados'!A26</f>
        <v>41471</v>
      </c>
      <c r="C29" s="150">
        <f t="shared" si="0"/>
        <v>41471</v>
      </c>
      <c r="D29" s="151">
        <f>'[1]Mérida oeste'!F21</f>
        <v>3.46074311679E-2</v>
      </c>
      <c r="E29" s="152">
        <f>GAMESA!O18</f>
        <v>4295</v>
      </c>
      <c r="F29" s="152">
        <f t="shared" si="1"/>
        <v>148.6389168661305</v>
      </c>
      <c r="L29" s="153"/>
    </row>
    <row r="30" spans="2:12" ht="14.25" x14ac:dyDescent="0.2">
      <c r="B30" s="149">
        <f>'[1]Días laborados'!A27</f>
        <v>41472</v>
      </c>
      <c r="C30" s="150">
        <f t="shared" si="0"/>
        <v>41472</v>
      </c>
      <c r="D30" s="151">
        <f>'[1]Mérida oeste'!F22</f>
        <v>3.4428554204800003E-2</v>
      </c>
      <c r="E30" s="152">
        <f>GAMESA!O19</f>
        <v>3568</v>
      </c>
      <c r="F30" s="152">
        <f t="shared" si="1"/>
        <v>122.84108140272642</v>
      </c>
      <c r="L30" s="153"/>
    </row>
    <row r="31" spans="2:12" ht="14.25" x14ac:dyDescent="0.2">
      <c r="B31" s="149">
        <f>'[1]Días laborados'!A28</f>
        <v>41473</v>
      </c>
      <c r="C31" s="150">
        <f t="shared" si="0"/>
        <v>41473</v>
      </c>
      <c r="D31" s="151">
        <f>'[1]Mérida oeste'!F23</f>
        <v>3.4228159705699999E-2</v>
      </c>
      <c r="E31" s="152">
        <f>GAMESA!O20</f>
        <v>3334</v>
      </c>
      <c r="F31" s="152">
        <f t="shared" si="1"/>
        <v>114.1166844588038</v>
      </c>
      <c r="L31" s="153"/>
    </row>
    <row r="32" spans="2:12" ht="14.25" x14ac:dyDescent="0.2">
      <c r="B32" s="149">
        <f>'[1]Días laborados'!A29</f>
        <v>41474</v>
      </c>
      <c r="C32" s="150">
        <f t="shared" si="0"/>
        <v>41474</v>
      </c>
      <c r="D32" s="151">
        <f>'[1]Mérida oeste'!F24</f>
        <v>3.4563514135000001E-2</v>
      </c>
      <c r="E32" s="152">
        <f>GAMESA!O21</f>
        <v>1872</v>
      </c>
      <c r="F32" s="152">
        <f t="shared" si="1"/>
        <v>64.702898460720007</v>
      </c>
      <c r="L32" s="153"/>
    </row>
    <row r="33" spans="2:12" ht="14.25" x14ac:dyDescent="0.2">
      <c r="B33" s="149">
        <f>'[1]Días laborados'!A30</f>
        <v>41475</v>
      </c>
      <c r="C33" s="150">
        <f t="shared" si="0"/>
        <v>41475</v>
      </c>
      <c r="D33" s="151">
        <f>'[1]Mérida oeste'!F25</f>
        <v>3.4868351214399997E-2</v>
      </c>
      <c r="E33" s="152">
        <f>GAMESA!O22</f>
        <v>2098</v>
      </c>
      <c r="F33" s="152">
        <f t="shared" si="1"/>
        <v>73.153800847811198</v>
      </c>
      <c r="L33" s="153"/>
    </row>
    <row r="34" spans="2:12" ht="14.25" x14ac:dyDescent="0.2">
      <c r="B34" s="149">
        <f>'[1]Días laborados'!A31</f>
        <v>41476</v>
      </c>
      <c r="C34" s="150">
        <f t="shared" si="0"/>
        <v>41476</v>
      </c>
      <c r="D34" s="151">
        <f>'[1]Mérida oeste'!F26</f>
        <v>3.4431880720699998E-2</v>
      </c>
      <c r="E34" s="152">
        <f>GAMESA!O23</f>
        <v>2106</v>
      </c>
      <c r="F34" s="152">
        <f t="shared" si="1"/>
        <v>72.513540797794192</v>
      </c>
      <c r="L34" s="153"/>
    </row>
    <row r="35" spans="2:12" ht="14.25" x14ac:dyDescent="0.2">
      <c r="B35" s="149">
        <f>'[1]Días laborados'!A32</f>
        <v>41477</v>
      </c>
      <c r="C35" s="150">
        <f t="shared" si="0"/>
        <v>41477</v>
      </c>
      <c r="D35" s="151">
        <f>'[1]Mérida oeste'!F27</f>
        <v>3.4963525218200002E-2</v>
      </c>
      <c r="E35" s="152">
        <f>GAMESA!O24</f>
        <v>1646</v>
      </c>
      <c r="F35" s="152">
        <f t="shared" si="1"/>
        <v>57.549962509157204</v>
      </c>
      <c r="L35" s="153"/>
    </row>
    <row r="36" spans="2:12" ht="14.25" x14ac:dyDescent="0.2">
      <c r="B36" s="149">
        <f>'[1]Días laborados'!A33</f>
        <v>41478</v>
      </c>
      <c r="C36" s="150">
        <f t="shared" si="0"/>
        <v>41478</v>
      </c>
      <c r="D36" s="151">
        <f>'[1]Mérida oeste'!F28</f>
        <v>3.6051090857900002E-2</v>
      </c>
      <c r="E36" s="152">
        <f>GAMESA!O25</f>
        <v>2000</v>
      </c>
      <c r="F36" s="152">
        <f t="shared" si="1"/>
        <v>72.1021817158</v>
      </c>
      <c r="L36" s="153"/>
    </row>
    <row r="37" spans="2:12" ht="14.25" x14ac:dyDescent="0.2">
      <c r="B37" s="149">
        <f>'[1]Días laborados'!A34</f>
        <v>41479</v>
      </c>
      <c r="C37" s="150">
        <f t="shared" si="0"/>
        <v>41479</v>
      </c>
      <c r="D37" s="151">
        <f>'[1]Mérida oeste'!F29</f>
        <v>3.6060777978899998E-2</v>
      </c>
      <c r="E37" s="152">
        <f>GAMESA!O26</f>
        <v>3785</v>
      </c>
      <c r="F37" s="152">
        <f t="shared" si="1"/>
        <v>136.4900446501365</v>
      </c>
      <c r="L37" s="153"/>
    </row>
    <row r="38" spans="2:12" ht="14.25" x14ac:dyDescent="0.2">
      <c r="B38" s="149">
        <f>'[1]Días laborados'!A35</f>
        <v>41480</v>
      </c>
      <c r="C38" s="150">
        <f t="shared" si="0"/>
        <v>41480</v>
      </c>
      <c r="D38" s="151">
        <f>'[1]Mérida oeste'!F30</f>
        <v>3.4884470329000002E-2</v>
      </c>
      <c r="E38" s="152">
        <f>GAMESA!O27</f>
        <v>3700</v>
      </c>
      <c r="F38" s="152">
        <f t="shared" si="1"/>
        <v>129.0725402173</v>
      </c>
      <c r="L38" s="153"/>
    </row>
    <row r="39" spans="2:12" ht="14.25" x14ac:dyDescent="0.2">
      <c r="B39" s="149">
        <f>'[1]Días laborados'!A36</f>
        <v>41481</v>
      </c>
      <c r="C39" s="150">
        <f t="shared" si="0"/>
        <v>41481</v>
      </c>
      <c r="D39" s="151">
        <f>'[1]Mérida oeste'!F31</f>
        <v>3.4736676601099997E-2</v>
      </c>
      <c r="E39" s="152">
        <f>GAMESA!O28</f>
        <v>3418</v>
      </c>
      <c r="F39" s="152">
        <f t="shared" si="1"/>
        <v>118.72996062255979</v>
      </c>
      <c r="L39" s="153"/>
    </row>
    <row r="40" spans="2:12" ht="14.25" x14ac:dyDescent="0.2">
      <c r="B40" s="149">
        <f>'[1]Días laborados'!A37</f>
        <v>41482</v>
      </c>
      <c r="C40" s="150">
        <f t="shared" si="0"/>
        <v>41482</v>
      </c>
      <c r="D40" s="151">
        <f>'[1]Mérida oeste'!F32</f>
        <v>3.4426408337400002E-2</v>
      </c>
      <c r="E40" s="152">
        <f>GAMESA!O29</f>
        <v>4082</v>
      </c>
      <c r="F40" s="152">
        <f t="shared" si="1"/>
        <v>140.52859883326681</v>
      </c>
      <c r="L40" s="153"/>
    </row>
    <row r="41" spans="2:12" ht="14.25" x14ac:dyDescent="0.2">
      <c r="B41" s="149">
        <f>'[1]Días laborados'!A38</f>
        <v>41483</v>
      </c>
      <c r="C41" s="150">
        <f t="shared" si="0"/>
        <v>41483</v>
      </c>
      <c r="D41" s="151">
        <f>'[1]Mérida oeste'!F33</f>
        <v>3.4326016537000001E-2</v>
      </c>
      <c r="E41" s="152">
        <f>GAMESA!O30</f>
        <v>3962</v>
      </c>
      <c r="F41" s="152">
        <f t="shared" si="1"/>
        <v>135.999677519594</v>
      </c>
      <c r="L41" s="153"/>
    </row>
    <row r="42" spans="2:12" ht="14.25" x14ac:dyDescent="0.2">
      <c r="B42" s="149">
        <f>'[1]Días laborados'!A39</f>
        <v>41484</v>
      </c>
      <c r="C42" s="150">
        <f t="shared" si="0"/>
        <v>41484</v>
      </c>
      <c r="D42" s="151">
        <f>'[1]Mérida oeste'!F34</f>
        <v>3.5174025514700002E-2</v>
      </c>
      <c r="E42" s="152">
        <f>GAMESA!O31</f>
        <v>4045</v>
      </c>
      <c r="F42" s="152">
        <f>D42*E42</f>
        <v>142.27893320696151</v>
      </c>
      <c r="L42" s="153"/>
    </row>
    <row r="43" spans="2:12" ht="14.25" x14ac:dyDescent="0.2">
      <c r="B43" s="149">
        <f>'[1]Días laborados'!A40</f>
        <v>41485</v>
      </c>
      <c r="C43" s="150">
        <f t="shared" si="0"/>
        <v>41485</v>
      </c>
      <c r="D43" s="151">
        <f>'[1]Mérida oeste'!F35</f>
        <v>3.48088650833E-2</v>
      </c>
      <c r="E43" s="152">
        <f>GAMESA!O32</f>
        <v>3970</v>
      </c>
      <c r="F43" s="152">
        <f>D43*E43</f>
        <v>138.19119438070101</v>
      </c>
      <c r="L43" s="153"/>
    </row>
    <row r="44" spans="2:12" ht="14.25" x14ac:dyDescent="0.2">
      <c r="B44" s="149">
        <f>'[1]Días laborados'!A41</f>
        <v>41486</v>
      </c>
      <c r="C44" s="150">
        <f t="shared" si="0"/>
        <v>41486</v>
      </c>
      <c r="D44" s="151">
        <f>'[1]Mérida oeste'!F36</f>
        <v>3.4951043399499997E-2</v>
      </c>
      <c r="E44" s="152">
        <f>GAMESA!O33</f>
        <v>4063</v>
      </c>
      <c r="F44" s="152">
        <f>D44*E44</f>
        <v>142.0060893321685</v>
      </c>
      <c r="L44" s="153"/>
    </row>
    <row r="45" spans="2:12" s="143" customFormat="1" ht="15.75" x14ac:dyDescent="0.25">
      <c r="B45" s="154" t="s">
        <v>67</v>
      </c>
      <c r="C45" s="155"/>
      <c r="D45" s="156">
        <f>AVERAGE(D14:D44)</f>
        <v>3.4739911037951612E-2</v>
      </c>
      <c r="E45" s="157">
        <f>SUM(E14:E44)</f>
        <v>104165</v>
      </c>
      <c r="F45" s="157">
        <f>SUM(F14:F44)</f>
        <v>3616.2751689041843</v>
      </c>
      <c r="L45" s="153"/>
    </row>
    <row r="46" spans="2:12" x14ac:dyDescent="0.2">
      <c r="B46" s="158" t="s">
        <v>68</v>
      </c>
      <c r="C46" s="159"/>
      <c r="D46" s="160"/>
      <c r="F46" s="148"/>
    </row>
    <row r="47" spans="2:12" x14ac:dyDescent="0.2">
      <c r="B47" s="161" t="s">
        <v>69</v>
      </c>
      <c r="C47" s="159"/>
      <c r="D47" s="160"/>
    </row>
    <row r="48" spans="2:12" x14ac:dyDescent="0.2">
      <c r="B48" s="161" t="s">
        <v>70</v>
      </c>
      <c r="C48" s="159"/>
      <c r="D48" s="160"/>
    </row>
    <row r="49" spans="2:4" x14ac:dyDescent="0.2">
      <c r="B49" s="161" t="s">
        <v>71</v>
      </c>
      <c r="C49" s="159"/>
    </row>
    <row r="50" spans="2:4" x14ac:dyDescent="0.2">
      <c r="B50" s="161" t="s">
        <v>72</v>
      </c>
      <c r="C50" s="159"/>
      <c r="D50" s="162"/>
    </row>
    <row r="51" spans="2:4" x14ac:dyDescent="0.2">
      <c r="B51" s="161" t="s">
        <v>74</v>
      </c>
      <c r="C51" s="159"/>
      <c r="D51" s="162"/>
    </row>
    <row r="52" spans="2:4" x14ac:dyDescent="0.2">
      <c r="C52" s="159"/>
      <c r="D52" s="162"/>
    </row>
    <row r="53" spans="2:4" x14ac:dyDescent="0.2">
      <c r="C53" s="159"/>
      <c r="D53" s="162"/>
    </row>
    <row r="54" spans="2:4" x14ac:dyDescent="0.2">
      <c r="B54" s="163"/>
      <c r="C54" s="159"/>
    </row>
    <row r="55" spans="2:4" x14ac:dyDescent="0.2">
      <c r="C55" s="159"/>
    </row>
  </sheetData>
  <mergeCells count="7">
    <mergeCell ref="B12:C13"/>
    <mergeCell ref="E12:F12"/>
    <mergeCell ref="A1:H1"/>
    <mergeCell ref="A2:H2"/>
    <mergeCell ref="A3:H3"/>
    <mergeCell ref="A6:H6"/>
    <mergeCell ref="A7:H7"/>
  </mergeCells>
  <pageMargins left="0.75" right="0.75" top="1" bottom="1" header="0" footer="0"/>
  <pageSetup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Document.8" shapeId="8193" r:id="rId4">
          <objectPr defaultSize="0" autoPict="0" r:id="rId5">
            <anchor moveWithCells="1">
              <from>
                <xdr:col>0</xdr:col>
                <xdr:colOff>57150</xdr:colOff>
                <xdr:row>1</xdr:row>
                <xdr:rowOff>19050</xdr:rowOff>
              </from>
              <to>
                <xdr:col>1</xdr:col>
                <xdr:colOff>495300</xdr:colOff>
                <xdr:row>6</xdr:row>
                <xdr:rowOff>19050</xdr:rowOff>
              </to>
            </anchor>
          </objectPr>
        </oleObject>
      </mc:Choice>
      <mc:Fallback>
        <oleObject progId="Word.Document.8" shapeId="8193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54"/>
  <sheetViews>
    <sheetView tabSelected="1" topLeftCell="A25" zoomScale="85" workbookViewId="0">
      <selection sqref="A1:H1"/>
    </sheetView>
  </sheetViews>
  <sheetFormatPr baseColWidth="10" defaultColWidth="9.140625" defaultRowHeight="12.75" x14ac:dyDescent="0.2"/>
  <cols>
    <col min="1" max="1" width="5.5703125" style="141" customWidth="1"/>
    <col min="2" max="3" width="7.7109375" style="141" customWidth="1"/>
    <col min="4" max="4" width="14.85546875" style="143" customWidth="1"/>
    <col min="5" max="5" width="14.5703125" style="141" bestFit="1" customWidth="1"/>
    <col min="6" max="6" width="11.85546875" style="141" bestFit="1" customWidth="1"/>
    <col min="7" max="10" width="9.140625" style="141" customWidth="1"/>
    <col min="11" max="11" width="11.7109375" style="141" bestFit="1" customWidth="1"/>
    <col min="12" max="16384" width="9.140625" style="141"/>
  </cols>
  <sheetData>
    <row r="1" spans="1:18" s="102" customFormat="1" x14ac:dyDescent="0.2">
      <c r="A1" s="169" t="s">
        <v>60</v>
      </c>
      <c r="B1" s="169"/>
      <c r="C1" s="169"/>
      <c r="D1" s="169"/>
      <c r="E1" s="169"/>
      <c r="F1" s="169"/>
      <c r="G1" s="169"/>
      <c r="H1" s="169"/>
      <c r="I1" s="101"/>
      <c r="J1" s="101"/>
      <c r="K1" s="101"/>
      <c r="L1" s="101"/>
      <c r="M1" s="101"/>
      <c r="N1" s="101"/>
      <c r="O1" s="101"/>
      <c r="P1" s="101"/>
      <c r="Q1" s="101"/>
      <c r="R1" s="101"/>
    </row>
    <row r="2" spans="1:18" s="102" customFormat="1" x14ac:dyDescent="0.2">
      <c r="A2" s="170" t="s">
        <v>61</v>
      </c>
      <c r="B2" s="170"/>
      <c r="C2" s="170"/>
      <c r="D2" s="170"/>
      <c r="E2" s="170"/>
      <c r="F2" s="170"/>
      <c r="G2" s="170"/>
      <c r="H2" s="170"/>
      <c r="I2" s="103"/>
      <c r="J2" s="103"/>
      <c r="K2" s="103"/>
      <c r="L2" s="103"/>
      <c r="M2" s="103"/>
      <c r="N2" s="103"/>
      <c r="O2" s="103"/>
      <c r="P2" s="103"/>
      <c r="Q2" s="103"/>
      <c r="R2" s="103"/>
    </row>
    <row r="3" spans="1:18" s="102" customFormat="1" x14ac:dyDescent="0.2">
      <c r="A3" s="170" t="s">
        <v>62</v>
      </c>
      <c r="B3" s="170"/>
      <c r="C3" s="170"/>
      <c r="D3" s="170"/>
      <c r="E3" s="170"/>
      <c r="F3" s="170"/>
      <c r="G3" s="170"/>
      <c r="H3" s="170"/>
      <c r="I3" s="103"/>
      <c r="J3" s="103"/>
      <c r="K3" s="103"/>
      <c r="L3" s="103"/>
      <c r="M3" s="103"/>
      <c r="N3" s="103"/>
      <c r="O3" s="103"/>
      <c r="P3" s="103"/>
      <c r="Q3" s="103"/>
      <c r="R3" s="103"/>
    </row>
    <row r="4" spans="1:18" s="102" customFormat="1" x14ac:dyDescent="0.2">
      <c r="A4" s="103"/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103"/>
      <c r="P4" s="103"/>
      <c r="Q4" s="103"/>
      <c r="R4" s="103"/>
    </row>
    <row r="5" spans="1:18" s="102" customFormat="1" x14ac:dyDescent="0.2">
      <c r="A5" s="137"/>
      <c r="B5" s="137"/>
      <c r="C5" s="137"/>
      <c r="D5" s="137"/>
      <c r="E5" s="137"/>
      <c r="F5" s="137"/>
      <c r="G5" s="137"/>
      <c r="H5" s="137"/>
      <c r="I5" s="137"/>
      <c r="J5" s="137"/>
      <c r="K5" s="137"/>
      <c r="L5" s="137"/>
      <c r="M5" s="137"/>
      <c r="N5" s="138"/>
      <c r="O5" s="139"/>
      <c r="P5" s="140"/>
    </row>
    <row r="6" spans="1:18" s="102" customFormat="1" x14ac:dyDescent="0.2">
      <c r="A6" s="171" t="s">
        <v>75</v>
      </c>
      <c r="B6" s="171"/>
      <c r="C6" s="171"/>
      <c r="D6" s="171"/>
      <c r="E6" s="171"/>
      <c r="F6" s="171"/>
      <c r="G6" s="171"/>
      <c r="H6" s="171"/>
      <c r="I6" s="104"/>
      <c r="J6" s="104"/>
      <c r="K6" s="104"/>
      <c r="L6" s="104"/>
      <c r="M6" s="104"/>
      <c r="N6" s="104"/>
      <c r="O6" s="104"/>
      <c r="P6" s="104"/>
      <c r="Q6" s="104"/>
      <c r="R6" s="104"/>
    </row>
    <row r="7" spans="1:18" s="102" customFormat="1" x14ac:dyDescent="0.2">
      <c r="A7" s="172" t="s">
        <v>78</v>
      </c>
      <c r="B7" s="172"/>
      <c r="C7" s="172"/>
      <c r="D7" s="172"/>
      <c r="E7" s="172"/>
      <c r="F7" s="172"/>
      <c r="G7" s="172"/>
      <c r="H7" s="172"/>
      <c r="I7" s="105"/>
      <c r="J7" s="105"/>
      <c r="K7" s="105"/>
      <c r="L7" s="105"/>
      <c r="M7" s="105"/>
      <c r="N7" s="105"/>
      <c r="O7" s="105"/>
      <c r="P7" s="105"/>
      <c r="Q7" s="101"/>
      <c r="R7" s="101"/>
    </row>
    <row r="9" spans="1:18" ht="15.75" x14ac:dyDescent="0.25">
      <c r="B9" s="142"/>
    </row>
    <row r="12" spans="1:18" ht="39" x14ac:dyDescent="0.25">
      <c r="B12" s="173" t="s">
        <v>5</v>
      </c>
      <c r="C12" s="174"/>
      <c r="D12" s="144" t="s">
        <v>63</v>
      </c>
      <c r="E12" s="177" t="s">
        <v>79</v>
      </c>
      <c r="F12" s="178"/>
    </row>
    <row r="13" spans="1:18" ht="15" customHeight="1" x14ac:dyDescent="0.2">
      <c r="B13" s="175"/>
      <c r="C13" s="176"/>
      <c r="D13" s="145" t="s">
        <v>64</v>
      </c>
      <c r="E13" s="146" t="s">
        <v>65</v>
      </c>
      <c r="F13" s="147" t="s">
        <v>66</v>
      </c>
      <c r="K13" s="148"/>
      <c r="L13" s="148"/>
    </row>
    <row r="14" spans="1:18" ht="14.25" x14ac:dyDescent="0.2">
      <c r="B14" s="149">
        <f>'[1]Días laborados'!A11</f>
        <v>41456</v>
      </c>
      <c r="C14" s="150">
        <f>B14</f>
        <v>41456</v>
      </c>
      <c r="D14" s="151">
        <f>'Consumo GAMESA'!D14</f>
        <v>3.47247804866E-2</v>
      </c>
      <c r="E14" s="152">
        <f>BIMBO!O3</f>
        <v>8112</v>
      </c>
      <c r="F14" s="152">
        <f t="shared" ref="F14:F41" si="0">D14*E14</f>
        <v>281.68741930729919</v>
      </c>
      <c r="L14" s="153"/>
    </row>
    <row r="15" spans="1:18" ht="14.25" x14ac:dyDescent="0.2">
      <c r="B15" s="149">
        <f>'[1]Días laborados'!A12</f>
        <v>41457</v>
      </c>
      <c r="C15" s="150">
        <f t="shared" ref="C15:C44" si="1">B15</f>
        <v>41457</v>
      </c>
      <c r="D15" s="151">
        <f>'Consumo GAMESA'!D15</f>
        <v>3.4826246297300002E-2</v>
      </c>
      <c r="E15" s="152">
        <f>BIMBO!O4</f>
        <v>7507</v>
      </c>
      <c r="F15" s="152">
        <f t="shared" si="0"/>
        <v>261.44063095383109</v>
      </c>
      <c r="L15" s="153"/>
    </row>
    <row r="16" spans="1:18" ht="14.25" x14ac:dyDescent="0.2">
      <c r="B16" s="149">
        <f>'[1]Días laborados'!A13</f>
        <v>41458</v>
      </c>
      <c r="C16" s="150">
        <f t="shared" si="1"/>
        <v>41458</v>
      </c>
      <c r="D16" s="151">
        <f>'Consumo GAMESA'!D16</f>
        <v>3.4399586372000003E-2</v>
      </c>
      <c r="E16" s="152">
        <f>BIMBO!O5</f>
        <v>7589</v>
      </c>
      <c r="F16" s="152">
        <f t="shared" si="0"/>
        <v>261.05846097710804</v>
      </c>
      <c r="L16" s="153"/>
    </row>
    <row r="17" spans="2:12" ht="14.25" x14ac:dyDescent="0.2">
      <c r="B17" s="149">
        <f>'[1]Días laborados'!A14</f>
        <v>41459</v>
      </c>
      <c r="C17" s="150">
        <f t="shared" si="1"/>
        <v>41459</v>
      </c>
      <c r="D17" s="151">
        <f>'Consumo GAMESA'!D17</f>
        <v>3.4559190587299997E-2</v>
      </c>
      <c r="E17" s="152">
        <f>BIMBO!O6</f>
        <v>7315</v>
      </c>
      <c r="F17" s="152">
        <f t="shared" si="0"/>
        <v>252.80047914609949</v>
      </c>
      <c r="L17" s="153"/>
    </row>
    <row r="18" spans="2:12" ht="14.25" x14ac:dyDescent="0.2">
      <c r="B18" s="149">
        <f>'[1]Días laborados'!A15</f>
        <v>41460</v>
      </c>
      <c r="C18" s="150">
        <f t="shared" si="1"/>
        <v>41460</v>
      </c>
      <c r="D18" s="151">
        <f>'Consumo GAMESA'!D18</f>
        <v>3.45093055907E-2</v>
      </c>
      <c r="E18" s="152">
        <f>BIMBO!O7</f>
        <v>5443</v>
      </c>
      <c r="F18" s="152">
        <f t="shared" si="0"/>
        <v>187.83415033018011</v>
      </c>
      <c r="L18" s="153"/>
    </row>
    <row r="19" spans="2:12" ht="14.25" x14ac:dyDescent="0.2">
      <c r="B19" s="149">
        <f>'[1]Días laborados'!A16</f>
        <v>41461</v>
      </c>
      <c r="C19" s="150">
        <f t="shared" si="1"/>
        <v>41461</v>
      </c>
      <c r="D19" s="151">
        <f>'Consumo GAMESA'!D19</f>
        <v>3.5525620783799998E-2</v>
      </c>
      <c r="E19" s="152">
        <f>BIMBO!O8</f>
        <v>6120</v>
      </c>
      <c r="F19" s="152">
        <f t="shared" si="0"/>
        <v>217.41679919685598</v>
      </c>
      <c r="L19" s="153"/>
    </row>
    <row r="20" spans="2:12" ht="14.25" x14ac:dyDescent="0.2">
      <c r="B20" s="149">
        <f>'[1]Días laborados'!A17</f>
        <v>41462</v>
      </c>
      <c r="C20" s="150">
        <f t="shared" si="1"/>
        <v>41462</v>
      </c>
      <c r="D20" s="151">
        <f>'Consumo GAMESA'!D20</f>
        <v>3.4532081120000002E-2</v>
      </c>
      <c r="E20" s="152">
        <f>BIMBO!O9</f>
        <v>7995</v>
      </c>
      <c r="F20" s="152">
        <f t="shared" si="0"/>
        <v>276.08398855440004</v>
      </c>
      <c r="L20" s="153"/>
    </row>
    <row r="21" spans="2:12" ht="14.25" x14ac:dyDescent="0.2">
      <c r="B21" s="149">
        <f>'[1]Días laborados'!A18</f>
        <v>41463</v>
      </c>
      <c r="C21" s="150">
        <f t="shared" si="1"/>
        <v>41463</v>
      </c>
      <c r="D21" s="151">
        <f>'Consumo GAMESA'!D21</f>
        <v>3.4631416904399998E-2</v>
      </c>
      <c r="E21" s="152">
        <f>BIMBO!O10</f>
        <v>8395</v>
      </c>
      <c r="F21" s="152">
        <f t="shared" si="0"/>
        <v>290.73074491243796</v>
      </c>
      <c r="L21" s="153"/>
    </row>
    <row r="22" spans="2:12" ht="14.25" x14ac:dyDescent="0.2">
      <c r="B22" s="149">
        <f>'[1]Días laborados'!A19</f>
        <v>41464</v>
      </c>
      <c r="C22" s="150">
        <f t="shared" si="1"/>
        <v>41464</v>
      </c>
      <c r="D22" s="151">
        <f>'Consumo GAMESA'!D22</f>
        <v>3.4427882907200003E-2</v>
      </c>
      <c r="E22" s="152">
        <f>BIMBO!O11</f>
        <v>8127</v>
      </c>
      <c r="F22" s="152">
        <f t="shared" si="0"/>
        <v>279.79540438681443</v>
      </c>
      <c r="L22" s="153"/>
    </row>
    <row r="23" spans="2:12" ht="14.25" x14ac:dyDescent="0.2">
      <c r="B23" s="149">
        <f>'[1]Días laborados'!A20</f>
        <v>41465</v>
      </c>
      <c r="C23" s="150">
        <f t="shared" si="1"/>
        <v>41465</v>
      </c>
      <c r="D23" s="151">
        <f>'Consumo GAMESA'!D23</f>
        <v>3.4441979319199997E-2</v>
      </c>
      <c r="E23" s="152">
        <f>BIMBO!O12</f>
        <v>7948</v>
      </c>
      <c r="F23" s="152">
        <f t="shared" si="0"/>
        <v>273.74485162900157</v>
      </c>
      <c r="L23" s="153"/>
    </row>
    <row r="24" spans="2:12" ht="14.25" x14ac:dyDescent="0.2">
      <c r="B24" s="149">
        <f>'[1]Días laborados'!A21</f>
        <v>41466</v>
      </c>
      <c r="C24" s="150">
        <f t="shared" si="1"/>
        <v>41466</v>
      </c>
      <c r="D24" s="151">
        <f>'Consumo GAMESA'!D24</f>
        <v>3.44167669817E-2</v>
      </c>
      <c r="E24" s="152">
        <f>BIMBO!O13</f>
        <v>6113</v>
      </c>
      <c r="F24" s="152">
        <f t="shared" si="0"/>
        <v>210.38969655913209</v>
      </c>
      <c r="L24" s="153"/>
    </row>
    <row r="25" spans="2:12" ht="14.25" x14ac:dyDescent="0.2">
      <c r="B25" s="149">
        <f>'[1]Días laborados'!A22</f>
        <v>41467</v>
      </c>
      <c r="C25" s="150">
        <f t="shared" si="1"/>
        <v>41467</v>
      </c>
      <c r="D25" s="151">
        <f>'Consumo GAMESA'!D25</f>
        <v>3.4446279066500003E-2</v>
      </c>
      <c r="E25" s="152">
        <f>BIMBO!O14</f>
        <v>4128</v>
      </c>
      <c r="F25" s="152">
        <f t="shared" si="0"/>
        <v>142.194239986512</v>
      </c>
      <c r="L25" s="153"/>
    </row>
    <row r="26" spans="2:12" ht="14.25" x14ac:dyDescent="0.2">
      <c r="B26" s="149">
        <f>'[1]Días laborados'!A23</f>
        <v>41468</v>
      </c>
      <c r="C26" s="150">
        <f t="shared" si="1"/>
        <v>41468</v>
      </c>
      <c r="D26" s="151">
        <f>'Consumo GAMESA'!D26</f>
        <v>3.4851054663200001E-2</v>
      </c>
      <c r="E26" s="152">
        <f>BIMBO!O15</f>
        <v>6124</v>
      </c>
      <c r="F26" s="152">
        <f t="shared" si="0"/>
        <v>213.42785875743681</v>
      </c>
      <c r="L26" s="153"/>
    </row>
    <row r="27" spans="2:12" ht="14.25" x14ac:dyDescent="0.2">
      <c r="B27" s="149">
        <f>'[1]Días laborados'!A24</f>
        <v>41469</v>
      </c>
      <c r="C27" s="150">
        <f t="shared" si="1"/>
        <v>41469</v>
      </c>
      <c r="D27" s="151">
        <f>'Consumo GAMESA'!D27</f>
        <v>3.47785583335E-2</v>
      </c>
      <c r="E27" s="152">
        <f>BIMBO!O16</f>
        <v>7976</v>
      </c>
      <c r="F27" s="152">
        <f t="shared" si="0"/>
        <v>277.39378126799602</v>
      </c>
      <c r="L27" s="153"/>
    </row>
    <row r="28" spans="2:12" ht="14.25" x14ac:dyDescent="0.2">
      <c r="B28" s="149">
        <f>'[1]Días laborados'!A25</f>
        <v>41470</v>
      </c>
      <c r="C28" s="150">
        <f t="shared" si="1"/>
        <v>41470</v>
      </c>
      <c r="D28" s="151">
        <f>'Consumo GAMESA'!D28</f>
        <v>3.4355701757599999E-2</v>
      </c>
      <c r="E28" s="152">
        <f>BIMBO!O17</f>
        <v>5492</v>
      </c>
      <c r="F28" s="152">
        <f t="shared" si="0"/>
        <v>188.6815140527392</v>
      </c>
      <c r="L28" s="153"/>
    </row>
    <row r="29" spans="2:12" ht="14.25" x14ac:dyDescent="0.2">
      <c r="B29" s="149">
        <f>'[1]Días laborados'!A26</f>
        <v>41471</v>
      </c>
      <c r="C29" s="150">
        <f t="shared" si="1"/>
        <v>41471</v>
      </c>
      <c r="D29" s="151">
        <f>'Consumo GAMESA'!D29</f>
        <v>3.46074311679E-2</v>
      </c>
      <c r="E29" s="152">
        <f>BIMBO!O18</f>
        <v>9655</v>
      </c>
      <c r="F29" s="152">
        <f t="shared" si="0"/>
        <v>334.13474792607451</v>
      </c>
      <c r="L29" s="153"/>
    </row>
    <row r="30" spans="2:12" ht="14.25" x14ac:dyDescent="0.2">
      <c r="B30" s="149">
        <f>'[1]Días laborados'!A27</f>
        <v>41472</v>
      </c>
      <c r="C30" s="150">
        <f t="shared" si="1"/>
        <v>41472</v>
      </c>
      <c r="D30" s="151">
        <f>'Consumo GAMESA'!D30</f>
        <v>3.4428554204800003E-2</v>
      </c>
      <c r="E30" s="152">
        <f>BIMBO!O19</f>
        <v>8066</v>
      </c>
      <c r="F30" s="152">
        <f t="shared" si="0"/>
        <v>277.70071821591682</v>
      </c>
      <c r="L30" s="153"/>
    </row>
    <row r="31" spans="2:12" ht="14.25" x14ac:dyDescent="0.2">
      <c r="B31" s="149">
        <f>'[1]Días laborados'!A28</f>
        <v>41473</v>
      </c>
      <c r="C31" s="150">
        <f t="shared" si="1"/>
        <v>41473</v>
      </c>
      <c r="D31" s="151">
        <f>'Consumo GAMESA'!D31</f>
        <v>3.4228159705699999E-2</v>
      </c>
      <c r="E31" s="152">
        <f>BIMBO!O20</f>
        <v>7192</v>
      </c>
      <c r="F31" s="152">
        <f t="shared" si="0"/>
        <v>246.1689246033944</v>
      </c>
      <c r="L31" s="153"/>
    </row>
    <row r="32" spans="2:12" ht="14.25" x14ac:dyDescent="0.2">
      <c r="B32" s="149">
        <f>'[1]Días laborados'!A29</f>
        <v>41474</v>
      </c>
      <c r="C32" s="150">
        <f t="shared" si="1"/>
        <v>41474</v>
      </c>
      <c r="D32" s="151">
        <f>'Consumo GAMESA'!D32</f>
        <v>3.4563514135000001E-2</v>
      </c>
      <c r="E32" s="152">
        <f>BIMBO!O21</f>
        <v>4056</v>
      </c>
      <c r="F32" s="152">
        <f t="shared" si="0"/>
        <v>140.18961333156</v>
      </c>
      <c r="L32" s="153"/>
    </row>
    <row r="33" spans="2:12" ht="14.25" x14ac:dyDescent="0.2">
      <c r="B33" s="149">
        <f>'[1]Días laborados'!A30</f>
        <v>41475</v>
      </c>
      <c r="C33" s="150">
        <f t="shared" si="1"/>
        <v>41475</v>
      </c>
      <c r="D33" s="151">
        <f>'Consumo GAMESA'!D33</f>
        <v>3.4868351214399997E-2</v>
      </c>
      <c r="E33" s="152">
        <f>BIMBO!O22</f>
        <v>2522</v>
      </c>
      <c r="F33" s="152">
        <f t="shared" si="0"/>
        <v>87.937981762716788</v>
      </c>
      <c r="L33" s="153"/>
    </row>
    <row r="34" spans="2:12" ht="14.25" x14ac:dyDescent="0.2">
      <c r="B34" s="149">
        <f>'[1]Días laborados'!A31</f>
        <v>41476</v>
      </c>
      <c r="C34" s="150">
        <f t="shared" si="1"/>
        <v>41476</v>
      </c>
      <c r="D34" s="151">
        <f>'Consumo GAMESA'!D34</f>
        <v>3.4431880720699998E-2</v>
      </c>
      <c r="E34" s="152">
        <f>BIMBO!O23</f>
        <v>2</v>
      </c>
      <c r="F34" s="152">
        <f t="shared" si="0"/>
        <v>6.8863761441399995E-2</v>
      </c>
      <c r="L34" s="153"/>
    </row>
    <row r="35" spans="2:12" ht="14.25" x14ac:dyDescent="0.2">
      <c r="B35" s="149">
        <f>'[1]Días laborados'!A32</f>
        <v>41477</v>
      </c>
      <c r="C35" s="150">
        <f t="shared" si="1"/>
        <v>41477</v>
      </c>
      <c r="D35" s="151">
        <f>'Consumo GAMESA'!D35</f>
        <v>3.4963525218200002E-2</v>
      </c>
      <c r="E35" s="152">
        <f>BIMBO!O24</f>
        <v>4885</v>
      </c>
      <c r="F35" s="152">
        <f t="shared" si="0"/>
        <v>170.796820690907</v>
      </c>
      <c r="H35" s="164"/>
      <c r="L35" s="153"/>
    </row>
    <row r="36" spans="2:12" ht="14.25" x14ac:dyDescent="0.2">
      <c r="B36" s="149">
        <f>'[1]Días laborados'!A33</f>
        <v>41478</v>
      </c>
      <c r="C36" s="150">
        <f t="shared" si="1"/>
        <v>41478</v>
      </c>
      <c r="D36" s="151">
        <f>'Consumo GAMESA'!D36</f>
        <v>3.6051090857900002E-2</v>
      </c>
      <c r="E36" s="152">
        <f>BIMBO!O25</f>
        <v>8014</v>
      </c>
      <c r="F36" s="152">
        <f t="shared" si="0"/>
        <v>288.91344213521063</v>
      </c>
      <c r="H36" s="164"/>
      <c r="L36" s="153"/>
    </row>
    <row r="37" spans="2:12" ht="14.25" x14ac:dyDescent="0.2">
      <c r="B37" s="149">
        <f>'[1]Días laborados'!A34</f>
        <v>41479</v>
      </c>
      <c r="C37" s="150">
        <f t="shared" si="1"/>
        <v>41479</v>
      </c>
      <c r="D37" s="151">
        <f>'Consumo GAMESA'!D37</f>
        <v>3.6060777978899998E-2</v>
      </c>
      <c r="E37" s="152">
        <f>BIMBO!O26</f>
        <v>7230</v>
      </c>
      <c r="F37" s="152">
        <f t="shared" si="0"/>
        <v>260.719424787447</v>
      </c>
      <c r="H37" s="164"/>
      <c r="L37" s="153"/>
    </row>
    <row r="38" spans="2:12" ht="14.25" x14ac:dyDescent="0.2">
      <c r="B38" s="149">
        <f>'[1]Días laborados'!A35</f>
        <v>41480</v>
      </c>
      <c r="C38" s="150">
        <f t="shared" si="1"/>
        <v>41480</v>
      </c>
      <c r="D38" s="151">
        <f>'Consumo GAMESA'!D38</f>
        <v>3.4884470329000002E-2</v>
      </c>
      <c r="E38" s="152">
        <f>BIMBO!O27</f>
        <v>8428</v>
      </c>
      <c r="F38" s="152">
        <f t="shared" si="0"/>
        <v>294.00631593281202</v>
      </c>
      <c r="H38" s="164"/>
      <c r="L38" s="153"/>
    </row>
    <row r="39" spans="2:12" ht="14.25" x14ac:dyDescent="0.2">
      <c r="B39" s="149">
        <f>'[1]Días laborados'!A36</f>
        <v>41481</v>
      </c>
      <c r="C39" s="150">
        <f t="shared" si="1"/>
        <v>41481</v>
      </c>
      <c r="D39" s="151">
        <f>'Consumo GAMESA'!D39</f>
        <v>3.4736676601099997E-2</v>
      </c>
      <c r="E39" s="152">
        <f>BIMBO!O28</f>
        <v>4245</v>
      </c>
      <c r="F39" s="152">
        <f t="shared" si="0"/>
        <v>147.45719217166948</v>
      </c>
      <c r="H39" s="164"/>
      <c r="L39" s="153"/>
    </row>
    <row r="40" spans="2:12" ht="14.25" x14ac:dyDescent="0.2">
      <c r="B40" s="149">
        <f>'[1]Días laborados'!A37</f>
        <v>41482</v>
      </c>
      <c r="C40" s="150">
        <f t="shared" si="1"/>
        <v>41482</v>
      </c>
      <c r="D40" s="151">
        <f>'Consumo GAMESA'!D40</f>
        <v>3.4426408337400002E-2</v>
      </c>
      <c r="E40" s="152">
        <f>BIMBO!O29</f>
        <v>5968</v>
      </c>
      <c r="F40" s="152">
        <f t="shared" si="0"/>
        <v>205.45680495760323</v>
      </c>
      <c r="H40" s="164"/>
      <c r="L40" s="153"/>
    </row>
    <row r="41" spans="2:12" ht="14.25" x14ac:dyDescent="0.2">
      <c r="B41" s="149">
        <f>'[1]Días laborados'!A38</f>
        <v>41483</v>
      </c>
      <c r="C41" s="150">
        <f t="shared" si="1"/>
        <v>41483</v>
      </c>
      <c r="D41" s="151">
        <f>'Consumo GAMESA'!D41</f>
        <v>3.4326016537000001E-2</v>
      </c>
      <c r="E41" s="152">
        <f>BIMBO!O30</f>
        <v>8254</v>
      </c>
      <c r="F41" s="152">
        <f t="shared" si="0"/>
        <v>283.32694049639798</v>
      </c>
      <c r="H41" s="164"/>
      <c r="L41" s="153"/>
    </row>
    <row r="42" spans="2:12" ht="14.25" x14ac:dyDescent="0.2">
      <c r="B42" s="149">
        <f>'[1]Días laborados'!A39</f>
        <v>41484</v>
      </c>
      <c r="C42" s="150">
        <f t="shared" si="1"/>
        <v>41484</v>
      </c>
      <c r="D42" s="151">
        <f>'Consumo GAMESA'!D42</f>
        <v>3.5174025514700002E-2</v>
      </c>
      <c r="E42" s="152">
        <f>BIMBO!O31</f>
        <v>7801</v>
      </c>
      <c r="F42" s="152">
        <f>D42*E42</f>
        <v>274.39257304017474</v>
      </c>
      <c r="H42" s="164"/>
      <c r="L42" s="153"/>
    </row>
    <row r="43" spans="2:12" ht="14.25" x14ac:dyDescent="0.2">
      <c r="B43" s="149">
        <f>'[1]Días laborados'!A40</f>
        <v>41485</v>
      </c>
      <c r="C43" s="150">
        <f t="shared" si="1"/>
        <v>41485</v>
      </c>
      <c r="D43" s="151">
        <f>'Consumo GAMESA'!D43</f>
        <v>3.48088650833E-2</v>
      </c>
      <c r="E43" s="152">
        <f>BIMBO!O32</f>
        <v>7418</v>
      </c>
      <c r="F43" s="152">
        <f>D43*E43</f>
        <v>258.21216118791938</v>
      </c>
      <c r="H43" s="164"/>
      <c r="L43" s="153"/>
    </row>
    <row r="44" spans="2:12" ht="14.25" x14ac:dyDescent="0.2">
      <c r="B44" s="149">
        <f>'[1]Días laborados'!A41</f>
        <v>41486</v>
      </c>
      <c r="C44" s="150">
        <f t="shared" si="1"/>
        <v>41486</v>
      </c>
      <c r="D44" s="151">
        <f>'Consumo GAMESA'!D44</f>
        <v>3.4951043399499997E-2</v>
      </c>
      <c r="E44" s="152">
        <f>BIMBO!O33</f>
        <v>7854</v>
      </c>
      <c r="F44" s="152">
        <f>D44*E44</f>
        <v>274.50549485967298</v>
      </c>
      <c r="H44" s="164"/>
      <c r="L44" s="153"/>
    </row>
    <row r="45" spans="2:12" s="143" customFormat="1" ht="15.75" x14ac:dyDescent="0.25">
      <c r="B45" s="165" t="s">
        <v>67</v>
      </c>
      <c r="C45" s="152"/>
      <c r="D45" s="166">
        <f>AVERAGE(D14:D44)</f>
        <v>3.4739911037951612E-2</v>
      </c>
      <c r="E45" s="157">
        <f>SUM(E14:E44)</f>
        <v>205974</v>
      </c>
      <c r="F45" s="157">
        <f>SUM(F14:F44)</f>
        <v>7158.6680398787621</v>
      </c>
      <c r="L45" s="153"/>
    </row>
    <row r="46" spans="2:12" x14ac:dyDescent="0.2">
      <c r="B46" s="158" t="s">
        <v>68</v>
      </c>
      <c r="C46" s="167"/>
      <c r="D46" s="160"/>
    </row>
    <row r="47" spans="2:12" x14ac:dyDescent="0.2">
      <c r="B47" s="161" t="s">
        <v>69</v>
      </c>
      <c r="C47" s="168"/>
      <c r="D47" s="160"/>
    </row>
    <row r="48" spans="2:12" x14ac:dyDescent="0.2">
      <c r="B48" s="161" t="s">
        <v>70</v>
      </c>
      <c r="C48" s="168"/>
      <c r="D48" s="160"/>
    </row>
    <row r="49" spans="2:4" x14ac:dyDescent="0.2">
      <c r="B49" s="161" t="s">
        <v>71</v>
      </c>
    </row>
    <row r="50" spans="2:4" x14ac:dyDescent="0.2">
      <c r="B50" s="161" t="s">
        <v>72</v>
      </c>
      <c r="C50" s="161" t="s">
        <v>73</v>
      </c>
      <c r="D50" s="162"/>
    </row>
    <row r="51" spans="2:4" x14ac:dyDescent="0.2">
      <c r="B51" s="161" t="s">
        <v>74</v>
      </c>
      <c r="C51" s="161"/>
      <c r="D51" s="162"/>
    </row>
    <row r="52" spans="2:4" x14ac:dyDescent="0.2">
      <c r="C52" s="161"/>
      <c r="D52" s="162"/>
    </row>
    <row r="53" spans="2:4" x14ac:dyDescent="0.2">
      <c r="C53" s="161"/>
      <c r="D53" s="162"/>
    </row>
    <row r="54" spans="2:4" x14ac:dyDescent="0.2">
      <c r="B54" s="163"/>
    </row>
  </sheetData>
  <mergeCells count="7">
    <mergeCell ref="B12:C13"/>
    <mergeCell ref="E12:F12"/>
    <mergeCell ref="A1:H1"/>
    <mergeCell ref="A2:H2"/>
    <mergeCell ref="A3:H3"/>
    <mergeCell ref="A6:H6"/>
    <mergeCell ref="A7:H7"/>
  </mergeCells>
  <pageMargins left="0.75" right="0.75" top="1" bottom="1" header="0" footer="0"/>
  <pageSetup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Document.8" shapeId="9217" r:id="rId4">
          <objectPr defaultSize="0" autoPict="0" r:id="rId5">
            <anchor moveWithCells="1">
              <from>
                <xdr:col>0</xdr:col>
                <xdr:colOff>57150</xdr:colOff>
                <xdr:row>1</xdr:row>
                <xdr:rowOff>19050</xdr:rowOff>
              </from>
              <to>
                <xdr:col>1</xdr:col>
                <xdr:colOff>495300</xdr:colOff>
                <xdr:row>6</xdr:row>
                <xdr:rowOff>38100</xdr:rowOff>
              </to>
            </anchor>
          </objectPr>
        </oleObject>
      </mc:Choice>
      <mc:Fallback>
        <oleObject progId="Word.Document.8" shapeId="9217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GAMESA</vt:lpstr>
      <vt:lpstr>BIMBO</vt:lpstr>
      <vt:lpstr>Consumo GAMESA</vt:lpstr>
      <vt:lpstr>Consumo BIMBO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Octavio Muñoz</dc:creator>
  <cp:lastModifiedBy>Hodin Escalante</cp:lastModifiedBy>
  <dcterms:created xsi:type="dcterms:W3CDTF">2013-08-02T05:27:41Z</dcterms:created>
  <dcterms:modified xsi:type="dcterms:W3CDTF">2013-08-06T04:01:57Z</dcterms:modified>
</cp:coreProperties>
</file>