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3185" yWindow="-30" windowWidth="10485" windowHeight="11640" activeTab="1"/>
  </bookViews>
  <sheets>
    <sheet name="Hoja2" sheetId="2" r:id="rId1"/>
    <sheet name="Hoja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T30" i="1" l="1"/>
  <c r="N30" i="1"/>
  <c r="O30" i="1" s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C23" i="1"/>
  <c r="D23" i="1"/>
  <c r="E23" i="1"/>
  <c r="F23" i="1"/>
  <c r="G23" i="1"/>
  <c r="H23" i="1"/>
  <c r="I23" i="1"/>
  <c r="J23" i="1"/>
  <c r="K23" i="1"/>
  <c r="L23" i="1"/>
  <c r="M23" i="1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M34" i="1"/>
  <c r="C35" i="1"/>
  <c r="D35" i="1"/>
  <c r="E35" i="1"/>
  <c r="F35" i="1"/>
  <c r="G35" i="1"/>
  <c r="H35" i="1"/>
  <c r="I35" i="1"/>
  <c r="J35" i="1"/>
  <c r="K35" i="1"/>
  <c r="L35" i="1"/>
  <c r="M35" i="1"/>
  <c r="C36" i="1"/>
  <c r="D36" i="1"/>
  <c r="E36" i="1"/>
  <c r="F36" i="1"/>
  <c r="G36" i="1"/>
  <c r="H36" i="1"/>
  <c r="I36" i="1"/>
  <c r="J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8" i="1"/>
  <c r="D38" i="1"/>
  <c r="E38" i="1"/>
  <c r="F38" i="1"/>
  <c r="G38" i="1"/>
  <c r="H38" i="1"/>
  <c r="I38" i="1"/>
  <c r="J38" i="1"/>
  <c r="K38" i="1"/>
  <c r="L38" i="1"/>
  <c r="M38" i="1"/>
  <c r="C39" i="1"/>
  <c r="D39" i="1"/>
  <c r="E39" i="1"/>
  <c r="F39" i="1"/>
  <c r="G39" i="1"/>
  <c r="H39" i="1"/>
  <c r="I39" i="1"/>
  <c r="J39" i="1"/>
  <c r="K39" i="1"/>
  <c r="L39" i="1"/>
  <c r="M39" i="1"/>
  <c r="C40" i="1"/>
  <c r="D40" i="1"/>
  <c r="E40" i="1"/>
  <c r="F40" i="1"/>
  <c r="G40" i="1"/>
  <c r="H40" i="1"/>
  <c r="I40" i="1"/>
  <c r="J40" i="1"/>
  <c r="K40" i="1"/>
  <c r="L40" i="1"/>
  <c r="M40" i="1"/>
  <c r="C41" i="1"/>
  <c r="D41" i="1"/>
  <c r="E41" i="1"/>
  <c r="F41" i="1"/>
  <c r="G41" i="1"/>
  <c r="H41" i="1"/>
  <c r="I41" i="1"/>
  <c r="J41" i="1"/>
  <c r="K41" i="1"/>
  <c r="L41" i="1"/>
  <c r="M4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11" i="1"/>
  <c r="T40" i="1" l="1"/>
  <c r="N41" i="1"/>
  <c r="O41" i="1" s="1"/>
  <c r="N40" i="1"/>
  <c r="O40" i="1" s="1"/>
  <c r="D54" i="2"/>
  <c r="E54" i="2"/>
  <c r="F54" i="2"/>
  <c r="G54" i="2"/>
  <c r="H54" i="2"/>
  <c r="I54" i="2"/>
  <c r="J54" i="2"/>
  <c r="K54" i="2"/>
  <c r="L54" i="2"/>
  <c r="M54" i="2"/>
  <c r="U26" i="2" l="1"/>
  <c r="M53" i="2" l="1"/>
  <c r="L53" i="2"/>
  <c r="K53" i="2"/>
  <c r="J53" i="2"/>
  <c r="I53" i="2"/>
  <c r="H53" i="2"/>
  <c r="G53" i="2"/>
  <c r="F53" i="2"/>
  <c r="E53" i="2"/>
  <c r="D53" i="2"/>
  <c r="M52" i="2"/>
  <c r="L52" i="2"/>
  <c r="K52" i="2"/>
  <c r="J52" i="2"/>
  <c r="I52" i="2"/>
  <c r="H52" i="2"/>
  <c r="G52" i="2"/>
  <c r="F52" i="2"/>
  <c r="E52" i="2"/>
  <c r="D52" i="2"/>
  <c r="M51" i="2"/>
  <c r="L51" i="2"/>
  <c r="K51" i="2"/>
  <c r="J51" i="2"/>
  <c r="I51" i="2"/>
  <c r="H51" i="2"/>
  <c r="G51" i="2"/>
  <c r="F51" i="2"/>
  <c r="E51" i="2"/>
  <c r="D51" i="2"/>
  <c r="M50" i="2"/>
  <c r="L50" i="2"/>
  <c r="K50" i="2"/>
  <c r="J50" i="2"/>
  <c r="I50" i="2"/>
  <c r="H50" i="2"/>
  <c r="G50" i="2"/>
  <c r="F50" i="2"/>
  <c r="E50" i="2"/>
  <c r="D50" i="2"/>
  <c r="M49" i="2"/>
  <c r="L49" i="2"/>
  <c r="K49" i="2"/>
  <c r="J49" i="2"/>
  <c r="I49" i="2"/>
  <c r="H49" i="2"/>
  <c r="G49" i="2"/>
  <c r="F49" i="2"/>
  <c r="E49" i="2"/>
  <c r="D49" i="2"/>
  <c r="M48" i="2"/>
  <c r="L48" i="2"/>
  <c r="K48" i="2"/>
  <c r="J48" i="2"/>
  <c r="I48" i="2"/>
  <c r="H48" i="2"/>
  <c r="G48" i="2"/>
  <c r="F48" i="2"/>
  <c r="E48" i="2"/>
  <c r="D48" i="2"/>
  <c r="M47" i="2"/>
  <c r="L47" i="2"/>
  <c r="K47" i="2"/>
  <c r="J47" i="2"/>
  <c r="I47" i="2"/>
  <c r="H47" i="2"/>
  <c r="G47" i="2"/>
  <c r="F47" i="2"/>
  <c r="E47" i="2"/>
  <c r="D47" i="2"/>
  <c r="M46" i="2"/>
  <c r="L46" i="2"/>
  <c r="K46" i="2"/>
  <c r="J46" i="2"/>
  <c r="I46" i="2"/>
  <c r="H46" i="2"/>
  <c r="G46" i="2"/>
  <c r="F46" i="2"/>
  <c r="E46" i="2"/>
  <c r="D46" i="2"/>
  <c r="M45" i="2"/>
  <c r="L45" i="2"/>
  <c r="K45" i="2"/>
  <c r="J45" i="2"/>
  <c r="I45" i="2"/>
  <c r="H45" i="2"/>
  <c r="G45" i="2"/>
  <c r="F45" i="2"/>
  <c r="E45" i="2"/>
  <c r="D45" i="2"/>
  <c r="M44" i="2"/>
  <c r="L44" i="2"/>
  <c r="K44" i="2"/>
  <c r="J44" i="2"/>
  <c r="I44" i="2"/>
  <c r="H44" i="2"/>
  <c r="G44" i="2"/>
  <c r="F44" i="2"/>
  <c r="E44" i="2"/>
  <c r="D44" i="2"/>
  <c r="M43" i="2"/>
  <c r="L43" i="2"/>
  <c r="K43" i="2"/>
  <c r="J43" i="2"/>
  <c r="I43" i="2"/>
  <c r="H43" i="2"/>
  <c r="G43" i="2"/>
  <c r="F43" i="2"/>
  <c r="E43" i="2"/>
  <c r="D43" i="2"/>
  <c r="M42" i="2"/>
  <c r="L42" i="2"/>
  <c r="K42" i="2"/>
  <c r="J42" i="2"/>
  <c r="I42" i="2"/>
  <c r="H42" i="2"/>
  <c r="G42" i="2"/>
  <c r="F42" i="2"/>
  <c r="E42" i="2"/>
  <c r="D42" i="2"/>
  <c r="M41" i="2"/>
  <c r="L41" i="2"/>
  <c r="K41" i="2"/>
  <c r="J41" i="2"/>
  <c r="I41" i="2"/>
  <c r="H41" i="2"/>
  <c r="G41" i="2"/>
  <c r="F41" i="2"/>
  <c r="E41" i="2"/>
  <c r="D41" i="2"/>
  <c r="M40" i="2"/>
  <c r="L40" i="2"/>
  <c r="K40" i="2"/>
  <c r="J40" i="2"/>
  <c r="I40" i="2"/>
  <c r="H40" i="2"/>
  <c r="G40" i="2"/>
  <c r="F40" i="2"/>
  <c r="E40" i="2"/>
  <c r="D40" i="2"/>
  <c r="M39" i="2"/>
  <c r="L39" i="2"/>
  <c r="K39" i="2"/>
  <c r="J39" i="2"/>
  <c r="I39" i="2"/>
  <c r="H39" i="2"/>
  <c r="G39" i="2"/>
  <c r="F39" i="2"/>
  <c r="E39" i="2"/>
  <c r="D39" i="2"/>
  <c r="M38" i="2"/>
  <c r="L38" i="2"/>
  <c r="K38" i="2"/>
  <c r="J38" i="2"/>
  <c r="I38" i="2"/>
  <c r="H38" i="2"/>
  <c r="G38" i="2"/>
  <c r="F38" i="2"/>
  <c r="E38" i="2"/>
  <c r="D38" i="2"/>
  <c r="M37" i="2"/>
  <c r="L37" i="2"/>
  <c r="K37" i="2"/>
  <c r="J37" i="2"/>
  <c r="I37" i="2"/>
  <c r="H37" i="2"/>
  <c r="G37" i="2"/>
  <c r="F37" i="2"/>
  <c r="E37" i="2"/>
  <c r="D37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M26" i="2"/>
  <c r="L26" i="2"/>
  <c r="K26" i="2"/>
  <c r="J26" i="2"/>
  <c r="I26" i="2"/>
  <c r="H26" i="2"/>
  <c r="G26" i="2"/>
  <c r="F26" i="2"/>
  <c r="E26" i="2"/>
  <c r="D26" i="2"/>
  <c r="M25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G61" i="2" l="1"/>
  <c r="D60" i="2"/>
  <c r="G59" i="2"/>
  <c r="D59" i="2"/>
  <c r="C59" i="2"/>
  <c r="T973" i="2"/>
  <c r="T981" i="2"/>
  <c r="T972" i="2"/>
  <c r="T980" i="2"/>
  <c r="T977" i="2"/>
  <c r="T978" i="2"/>
  <c r="T975" i="2"/>
  <c r="T976" i="2"/>
  <c r="T974" i="2"/>
  <c r="U996" i="2"/>
  <c r="U988" i="2"/>
  <c r="T941" i="2"/>
  <c r="T949" i="2"/>
  <c r="T940" i="2"/>
  <c r="T948" i="2"/>
  <c r="T945" i="2"/>
  <c r="T946" i="2"/>
  <c r="T943" i="2"/>
  <c r="T944" i="2"/>
  <c r="T942" i="2"/>
  <c r="U964" i="2"/>
  <c r="U956" i="2"/>
  <c r="U963" i="2" s="1"/>
  <c r="T909" i="2"/>
  <c r="T917" i="2"/>
  <c r="T908" i="2"/>
  <c r="T916" i="2"/>
  <c r="T913" i="2"/>
  <c r="T914" i="2"/>
  <c r="T911" i="2"/>
  <c r="T912" i="2"/>
  <c r="T910" i="2"/>
  <c r="U932" i="2"/>
  <c r="U924" i="2"/>
  <c r="U931" i="2" s="1"/>
  <c r="T877" i="2"/>
  <c r="T885" i="2"/>
  <c r="T876" i="2"/>
  <c r="T884" i="2"/>
  <c r="T881" i="2"/>
  <c r="T882" i="2"/>
  <c r="T879" i="2"/>
  <c r="T880" i="2"/>
  <c r="T878" i="2"/>
  <c r="U900" i="2"/>
  <c r="U892" i="2"/>
  <c r="U899" i="2" s="1"/>
  <c r="T845" i="2"/>
  <c r="T853" i="2"/>
  <c r="T844" i="2"/>
  <c r="T852" i="2"/>
  <c r="T849" i="2"/>
  <c r="T850" i="2"/>
  <c r="T847" i="2"/>
  <c r="T848" i="2"/>
  <c r="T846" i="2"/>
  <c r="U868" i="2"/>
  <c r="U860" i="2"/>
  <c r="U867" i="2" s="1"/>
  <c r="T813" i="2"/>
  <c r="T821" i="2"/>
  <c r="T812" i="2"/>
  <c r="T820" i="2"/>
  <c r="T817" i="2"/>
  <c r="T818" i="2"/>
  <c r="T815" i="2"/>
  <c r="T816" i="2"/>
  <c r="T814" i="2"/>
  <c r="U836" i="2"/>
  <c r="U828" i="2"/>
  <c r="U835" i="2" s="1"/>
  <c r="T781" i="2"/>
  <c r="T789" i="2"/>
  <c r="T780" i="2"/>
  <c r="T788" i="2"/>
  <c r="T785" i="2"/>
  <c r="T786" i="2"/>
  <c r="T783" i="2"/>
  <c r="T784" i="2"/>
  <c r="T782" i="2"/>
  <c r="U804" i="2"/>
  <c r="U796" i="2"/>
  <c r="U803" i="2" s="1"/>
  <c r="T749" i="2"/>
  <c r="T757" i="2"/>
  <c r="T748" i="2"/>
  <c r="T756" i="2"/>
  <c r="T753" i="2"/>
  <c r="T754" i="2"/>
  <c r="T751" i="2"/>
  <c r="T752" i="2"/>
  <c r="T750" i="2"/>
  <c r="U772" i="2"/>
  <c r="U774" i="2" s="1"/>
  <c r="U766" i="2" s="1"/>
  <c r="U764" i="2"/>
  <c r="U771" i="2" s="1"/>
  <c r="T717" i="2"/>
  <c r="T725" i="2"/>
  <c r="T716" i="2"/>
  <c r="T724" i="2"/>
  <c r="T721" i="2"/>
  <c r="T722" i="2"/>
  <c r="T719" i="2"/>
  <c r="T720" i="2"/>
  <c r="T718" i="2"/>
  <c r="U740" i="2"/>
  <c r="U732" i="2"/>
  <c r="U739" i="2" s="1"/>
  <c r="T685" i="2"/>
  <c r="T693" i="2"/>
  <c r="T684" i="2"/>
  <c r="T692" i="2"/>
  <c r="T689" i="2"/>
  <c r="T690" i="2"/>
  <c r="T687" i="2"/>
  <c r="T688" i="2"/>
  <c r="T686" i="2"/>
  <c r="U708" i="2"/>
  <c r="U700" i="2"/>
  <c r="U707" i="2" s="1"/>
  <c r="T653" i="2"/>
  <c r="T661" i="2"/>
  <c r="T652" i="2"/>
  <c r="T660" i="2"/>
  <c r="T657" i="2"/>
  <c r="T658" i="2"/>
  <c r="T655" i="2"/>
  <c r="T656" i="2"/>
  <c r="T654" i="2"/>
  <c r="U676" i="2"/>
  <c r="U668" i="2"/>
  <c r="U675" i="2" s="1"/>
  <c r="T621" i="2"/>
  <c r="T629" i="2"/>
  <c r="T620" i="2"/>
  <c r="T628" i="2"/>
  <c r="T625" i="2"/>
  <c r="T626" i="2"/>
  <c r="T623" i="2"/>
  <c r="T624" i="2"/>
  <c r="T622" i="2"/>
  <c r="U644" i="2"/>
  <c r="U636" i="2"/>
  <c r="U643" i="2" s="1"/>
  <c r="T589" i="2"/>
  <c r="T597" i="2"/>
  <c r="T588" i="2"/>
  <c r="T596" i="2"/>
  <c r="T593" i="2"/>
  <c r="T594" i="2"/>
  <c r="T591" i="2"/>
  <c r="T592" i="2"/>
  <c r="T590" i="2"/>
  <c r="U612" i="2"/>
  <c r="U604" i="2"/>
  <c r="U611" i="2" s="1"/>
  <c r="T557" i="2"/>
  <c r="T565" i="2"/>
  <c r="T556" i="2"/>
  <c r="T564" i="2"/>
  <c r="T561" i="2"/>
  <c r="T562" i="2"/>
  <c r="T559" i="2"/>
  <c r="T560" i="2"/>
  <c r="T558" i="2"/>
  <c r="U580" i="2"/>
  <c r="U572" i="2"/>
  <c r="U579" i="2" s="1"/>
  <c r="T525" i="2"/>
  <c r="T533" i="2"/>
  <c r="T524" i="2"/>
  <c r="T532" i="2"/>
  <c r="T529" i="2"/>
  <c r="T530" i="2"/>
  <c r="T527" i="2"/>
  <c r="T528" i="2"/>
  <c r="T526" i="2"/>
  <c r="U548" i="2"/>
  <c r="U540" i="2"/>
  <c r="U547" i="2" s="1"/>
  <c r="T493" i="2"/>
  <c r="T501" i="2"/>
  <c r="T492" i="2"/>
  <c r="T500" i="2"/>
  <c r="T497" i="2"/>
  <c r="T498" i="2"/>
  <c r="T495" i="2"/>
  <c r="T496" i="2"/>
  <c r="T494" i="2"/>
  <c r="U516" i="2"/>
  <c r="U508" i="2"/>
  <c r="U515" i="2" s="1"/>
  <c r="T461" i="2"/>
  <c r="T469" i="2"/>
  <c r="T460" i="2"/>
  <c r="T468" i="2"/>
  <c r="T465" i="2"/>
  <c r="T466" i="2"/>
  <c r="T463" i="2"/>
  <c r="T464" i="2"/>
  <c r="T462" i="2"/>
  <c r="U484" i="2"/>
  <c r="U476" i="2"/>
  <c r="U483" i="2" s="1"/>
  <c r="T429" i="2"/>
  <c r="T437" i="2"/>
  <c r="T428" i="2"/>
  <c r="T436" i="2"/>
  <c r="T433" i="2"/>
  <c r="T434" i="2"/>
  <c r="T431" i="2"/>
  <c r="T432" i="2"/>
  <c r="T430" i="2"/>
  <c r="U452" i="2"/>
  <c r="U444" i="2"/>
  <c r="U451" i="2" s="1"/>
  <c r="T397" i="2"/>
  <c r="T405" i="2"/>
  <c r="T396" i="2"/>
  <c r="T404" i="2"/>
  <c r="T401" i="2"/>
  <c r="T402" i="2"/>
  <c r="T399" i="2"/>
  <c r="T400" i="2"/>
  <c r="T398" i="2"/>
  <c r="U420" i="2"/>
  <c r="U412" i="2"/>
  <c r="U419" i="2" s="1"/>
  <c r="T365" i="2"/>
  <c r="T373" i="2"/>
  <c r="T364" i="2"/>
  <c r="T372" i="2"/>
  <c r="T369" i="2"/>
  <c r="T370" i="2"/>
  <c r="T367" i="2"/>
  <c r="T368" i="2"/>
  <c r="T366" i="2"/>
  <c r="U388" i="2"/>
  <c r="U380" i="2"/>
  <c r="U387" i="2" s="1"/>
  <c r="T333" i="2"/>
  <c r="T341" i="2"/>
  <c r="T332" i="2"/>
  <c r="T340" i="2"/>
  <c r="T337" i="2"/>
  <c r="T338" i="2"/>
  <c r="T335" i="2"/>
  <c r="T336" i="2"/>
  <c r="T334" i="2"/>
  <c r="U356" i="2"/>
  <c r="U348" i="2"/>
  <c r="U355" i="2" s="1"/>
  <c r="T301" i="2"/>
  <c r="T309" i="2"/>
  <c r="T300" i="2"/>
  <c r="T308" i="2"/>
  <c r="T305" i="2"/>
  <c r="T306" i="2"/>
  <c r="T303" i="2"/>
  <c r="T304" i="2"/>
  <c r="T302" i="2"/>
  <c r="U324" i="2"/>
  <c r="U316" i="2"/>
  <c r="T269" i="2"/>
  <c r="T277" i="2"/>
  <c r="T268" i="2"/>
  <c r="T276" i="2"/>
  <c r="T273" i="2"/>
  <c r="T274" i="2"/>
  <c r="T271" i="2"/>
  <c r="T272" i="2"/>
  <c r="T270" i="2"/>
  <c r="U292" i="2"/>
  <c r="U284" i="2"/>
  <c r="T237" i="2"/>
  <c r="T245" i="2"/>
  <c r="T236" i="2"/>
  <c r="T244" i="2"/>
  <c r="T241" i="2"/>
  <c r="T242" i="2"/>
  <c r="T239" i="2"/>
  <c r="T240" i="2"/>
  <c r="T238" i="2"/>
  <c r="U260" i="2"/>
  <c r="U252" i="2"/>
  <c r="T205" i="2"/>
  <c r="T213" i="2"/>
  <c r="T204" i="2"/>
  <c r="T212" i="2"/>
  <c r="T209" i="2"/>
  <c r="T210" i="2"/>
  <c r="T207" i="2"/>
  <c r="T208" i="2"/>
  <c r="T206" i="2"/>
  <c r="U228" i="2"/>
  <c r="U220" i="2"/>
  <c r="T173" i="2"/>
  <c r="T181" i="2"/>
  <c r="T172" i="2"/>
  <c r="T180" i="2"/>
  <c r="T177" i="2"/>
  <c r="T178" i="2"/>
  <c r="T175" i="2"/>
  <c r="T176" i="2"/>
  <c r="T174" i="2"/>
  <c r="U196" i="2"/>
  <c r="U188" i="2"/>
  <c r="T141" i="2"/>
  <c r="T149" i="2"/>
  <c r="T140" i="2"/>
  <c r="T148" i="2"/>
  <c r="T145" i="2"/>
  <c r="T146" i="2"/>
  <c r="T143" i="2"/>
  <c r="T144" i="2"/>
  <c r="T142" i="2"/>
  <c r="U164" i="2"/>
  <c r="U156" i="2"/>
  <c r="T109" i="2"/>
  <c r="T117" i="2"/>
  <c r="T108" i="2"/>
  <c r="T116" i="2"/>
  <c r="T113" i="2"/>
  <c r="T114" i="2"/>
  <c r="T111" i="2"/>
  <c r="T112" i="2"/>
  <c r="T110" i="2"/>
  <c r="U132" i="2"/>
  <c r="U124" i="2"/>
  <c r="T77" i="2"/>
  <c r="T85" i="2"/>
  <c r="T76" i="2"/>
  <c r="T84" i="2"/>
  <c r="T81" i="2"/>
  <c r="T82" i="2"/>
  <c r="T79" i="2"/>
  <c r="T80" i="2"/>
  <c r="T78" i="2"/>
  <c r="U100" i="2"/>
  <c r="U92" i="2"/>
  <c r="U68" i="2"/>
  <c r="U60" i="2"/>
  <c r="U36" i="2"/>
  <c r="J17" i="2"/>
  <c r="K17" i="2" s="1"/>
  <c r="L17" i="2" s="1"/>
  <c r="F17" i="2"/>
  <c r="G17" i="2" s="1"/>
  <c r="C17" i="2"/>
  <c r="S17" i="2" s="1"/>
  <c r="J16" i="2"/>
  <c r="K16" i="2" s="1"/>
  <c r="L16" i="2" s="1"/>
  <c r="F16" i="2"/>
  <c r="G16" i="2" s="1"/>
  <c r="C16" i="2"/>
  <c r="S16" i="2" s="1"/>
  <c r="J15" i="2"/>
  <c r="K15" i="2" s="1"/>
  <c r="L15" i="2" s="1"/>
  <c r="F15" i="2"/>
  <c r="G15" i="2" s="1"/>
  <c r="C15" i="2"/>
  <c r="S15" i="2" s="1"/>
  <c r="J14" i="2"/>
  <c r="K14" i="2" s="1"/>
  <c r="L14" i="2" s="1"/>
  <c r="F14" i="2"/>
  <c r="G14" i="2" s="1"/>
  <c r="C14" i="2"/>
  <c r="S14" i="2" s="1"/>
  <c r="J13" i="2"/>
  <c r="K13" i="2" s="1"/>
  <c r="L13" i="2" s="1"/>
  <c r="F13" i="2"/>
  <c r="G13" i="2" s="1"/>
  <c r="C13" i="2"/>
  <c r="S13" i="2" s="1"/>
  <c r="J12" i="2"/>
  <c r="K12" i="2" s="1"/>
  <c r="L12" i="2" s="1"/>
  <c r="F12" i="2"/>
  <c r="G12" i="2" s="1"/>
  <c r="C12" i="2"/>
  <c r="S12" i="2" s="1"/>
  <c r="J11" i="2"/>
  <c r="K11" i="2" s="1"/>
  <c r="L11" i="2" s="1"/>
  <c r="F11" i="2"/>
  <c r="G11" i="2" s="1"/>
  <c r="C11" i="2"/>
  <c r="S11" i="2" s="1"/>
  <c r="J10" i="2"/>
  <c r="K10" i="2" s="1"/>
  <c r="L10" i="2" s="1"/>
  <c r="F10" i="2"/>
  <c r="G10" i="2" s="1"/>
  <c r="C10" i="2"/>
  <c r="S10" i="2" s="1"/>
  <c r="J9" i="2"/>
  <c r="K9" i="2" s="1"/>
  <c r="L9" i="2" s="1"/>
  <c r="F9" i="2"/>
  <c r="G9" i="2" s="1"/>
  <c r="C9" i="2"/>
  <c r="S9" i="2" s="1"/>
  <c r="J8" i="2"/>
  <c r="K8" i="2" s="1"/>
  <c r="L8" i="2" s="1"/>
  <c r="F8" i="2"/>
  <c r="G8" i="2" s="1"/>
  <c r="C8" i="2"/>
  <c r="S8" i="2" s="1"/>
  <c r="U582" i="2" l="1"/>
  <c r="U574" i="2" s="1"/>
  <c r="U995" i="2"/>
  <c r="M9" i="2"/>
  <c r="P9" i="2" s="1"/>
  <c r="Q9" i="2" s="1"/>
  <c r="R9" i="2" s="1"/>
  <c r="M13" i="2"/>
  <c r="P13" i="2" s="1"/>
  <c r="Q13" i="2" s="1"/>
  <c r="R13" i="2" s="1"/>
  <c r="U518" i="2"/>
  <c r="U510" i="2" s="1"/>
  <c r="M12" i="2"/>
  <c r="P12" i="2" s="1"/>
  <c r="Q12" i="2" s="1"/>
  <c r="R12" i="2" s="1"/>
  <c r="Y272" i="2" s="1"/>
  <c r="M8" i="2"/>
  <c r="P8" i="2" s="1"/>
  <c r="Q8" i="2" s="1"/>
  <c r="R8" i="2" s="1"/>
  <c r="W845" i="2" s="1"/>
  <c r="X845" i="2" s="1"/>
  <c r="U422" i="2"/>
  <c r="U414" i="2" s="1"/>
  <c r="U550" i="2"/>
  <c r="U542" i="2" s="1"/>
  <c r="T46" i="2"/>
  <c r="T10" i="2"/>
  <c r="T47" i="2"/>
  <c r="U47" i="2" s="1"/>
  <c r="T11" i="2"/>
  <c r="U11" i="2" s="1"/>
  <c r="T49" i="2"/>
  <c r="U49" i="2" s="1"/>
  <c r="T13" i="2"/>
  <c r="U13" i="2" s="1"/>
  <c r="T44" i="2"/>
  <c r="V44" i="2" s="1"/>
  <c r="T8" i="2"/>
  <c r="T45" i="2"/>
  <c r="T9" i="2"/>
  <c r="U9" i="2" s="1"/>
  <c r="T48" i="2"/>
  <c r="U48" i="2" s="1"/>
  <c r="T12" i="2"/>
  <c r="U12" i="2" s="1"/>
  <c r="T50" i="2"/>
  <c r="U50" i="2" s="1"/>
  <c r="T14" i="2"/>
  <c r="U14" i="2" s="1"/>
  <c r="AA14" i="2" s="1"/>
  <c r="T52" i="2"/>
  <c r="U52" i="2" s="1"/>
  <c r="T16" i="2"/>
  <c r="U16" i="2" s="1"/>
  <c r="T53" i="2"/>
  <c r="U53" i="2" s="1"/>
  <c r="T17" i="2"/>
  <c r="U17" i="2" s="1"/>
  <c r="AA17" i="2" s="1"/>
  <c r="U966" i="2"/>
  <c r="U958" i="2" s="1"/>
  <c r="U614" i="2"/>
  <c r="U606" i="2" s="1"/>
  <c r="U646" i="2"/>
  <c r="U638" i="2" s="1"/>
  <c r="U678" i="2"/>
  <c r="U670" i="2" s="1"/>
  <c r="U806" i="2"/>
  <c r="U798" i="2" s="1"/>
  <c r="W753" i="2"/>
  <c r="W717" i="2"/>
  <c r="X717" i="2" s="1"/>
  <c r="W684" i="2"/>
  <c r="X684" i="2" s="1"/>
  <c r="W396" i="2"/>
  <c r="X396" i="2" s="1"/>
  <c r="W236" i="2"/>
  <c r="X236" i="2" s="1"/>
  <c r="W76" i="2"/>
  <c r="X76" i="2" s="1"/>
  <c r="W77" i="2"/>
  <c r="X77" i="2" s="1"/>
  <c r="U973" i="2"/>
  <c r="U941" i="2"/>
  <c r="U909" i="2"/>
  <c r="U877" i="2"/>
  <c r="U845" i="2"/>
  <c r="U813" i="2"/>
  <c r="U781" i="2"/>
  <c r="U749" i="2"/>
  <c r="U717" i="2"/>
  <c r="U685" i="2"/>
  <c r="U653" i="2"/>
  <c r="U621" i="2"/>
  <c r="U589" i="2"/>
  <c r="U557" i="2"/>
  <c r="U525" i="2"/>
  <c r="U493" i="2"/>
  <c r="U461" i="2"/>
  <c r="U429" i="2"/>
  <c r="U397" i="2"/>
  <c r="U365" i="2"/>
  <c r="U333" i="2"/>
  <c r="U301" i="2"/>
  <c r="U269" i="2"/>
  <c r="U237" i="2"/>
  <c r="U205" i="2"/>
  <c r="U173" i="2"/>
  <c r="U141" i="2"/>
  <c r="U109" i="2"/>
  <c r="U77" i="2"/>
  <c r="M10" i="2"/>
  <c r="P10" i="2" s="1"/>
  <c r="Q10" i="2" s="1"/>
  <c r="R10" i="2" s="1"/>
  <c r="M11" i="2"/>
  <c r="P11" i="2" s="1"/>
  <c r="Q11" i="2" s="1"/>
  <c r="R11" i="2" s="1"/>
  <c r="U972" i="2"/>
  <c r="U940" i="2"/>
  <c r="U908" i="2"/>
  <c r="U876" i="2"/>
  <c r="U844" i="2"/>
  <c r="U812" i="2"/>
  <c r="U780" i="2"/>
  <c r="U748" i="2"/>
  <c r="U716" i="2"/>
  <c r="U684" i="2"/>
  <c r="U652" i="2"/>
  <c r="U620" i="2"/>
  <c r="U588" i="2"/>
  <c r="U556" i="2"/>
  <c r="U524" i="2"/>
  <c r="U492" i="2"/>
  <c r="U460" i="2"/>
  <c r="U428" i="2"/>
  <c r="U396" i="2"/>
  <c r="U364" i="2"/>
  <c r="U332" i="2"/>
  <c r="U300" i="2"/>
  <c r="U268" i="2"/>
  <c r="U236" i="2"/>
  <c r="U204" i="2"/>
  <c r="U172" i="2"/>
  <c r="U140" i="2"/>
  <c r="U108" i="2"/>
  <c r="U76" i="2"/>
  <c r="U974" i="2"/>
  <c r="U942" i="2"/>
  <c r="U910" i="2"/>
  <c r="U878" i="2"/>
  <c r="U846" i="2"/>
  <c r="U814" i="2"/>
  <c r="U782" i="2"/>
  <c r="U750" i="2"/>
  <c r="U718" i="2"/>
  <c r="U686" i="2"/>
  <c r="U654" i="2"/>
  <c r="U622" i="2"/>
  <c r="U590" i="2"/>
  <c r="U558" i="2"/>
  <c r="U526" i="2"/>
  <c r="U494" i="2"/>
  <c r="U462" i="2"/>
  <c r="U430" i="2"/>
  <c r="U398" i="2"/>
  <c r="U366" i="2"/>
  <c r="U334" i="2"/>
  <c r="U302" i="2"/>
  <c r="U270" i="2"/>
  <c r="U238" i="2"/>
  <c r="U206" i="2"/>
  <c r="U174" i="2"/>
  <c r="U142" i="2"/>
  <c r="U110" i="2"/>
  <c r="U78" i="2"/>
  <c r="U975" i="2"/>
  <c r="AA975" i="2" s="1"/>
  <c r="U943" i="2"/>
  <c r="AA943" i="2" s="1"/>
  <c r="U911" i="2"/>
  <c r="AA911" i="2" s="1"/>
  <c r="U879" i="2"/>
  <c r="AA879" i="2" s="1"/>
  <c r="U847" i="2"/>
  <c r="AA847" i="2" s="1"/>
  <c r="U815" i="2"/>
  <c r="AA815" i="2" s="1"/>
  <c r="U783" i="2"/>
  <c r="AA783" i="2" s="1"/>
  <c r="U751" i="2"/>
  <c r="AA751" i="2" s="1"/>
  <c r="U719" i="2"/>
  <c r="AA719" i="2" s="1"/>
  <c r="U687" i="2"/>
  <c r="U655" i="2"/>
  <c r="AA655" i="2" s="1"/>
  <c r="U623" i="2"/>
  <c r="U591" i="2"/>
  <c r="AA591" i="2" s="1"/>
  <c r="U559" i="2"/>
  <c r="U527" i="2"/>
  <c r="AA527" i="2" s="1"/>
  <c r="U495" i="2"/>
  <c r="U463" i="2"/>
  <c r="AA463" i="2" s="1"/>
  <c r="U431" i="2"/>
  <c r="U399" i="2"/>
  <c r="AA399" i="2" s="1"/>
  <c r="U367" i="2"/>
  <c r="U335" i="2"/>
  <c r="AA335" i="2" s="1"/>
  <c r="U303" i="2"/>
  <c r="U271" i="2"/>
  <c r="AA271" i="2" s="1"/>
  <c r="U239" i="2"/>
  <c r="U207" i="2"/>
  <c r="AA207" i="2" s="1"/>
  <c r="U175" i="2"/>
  <c r="U143" i="2"/>
  <c r="AA143" i="2" s="1"/>
  <c r="U111" i="2"/>
  <c r="U79" i="2"/>
  <c r="AA79" i="2" s="1"/>
  <c r="U976" i="2"/>
  <c r="AA976" i="2" s="1"/>
  <c r="U944" i="2"/>
  <c r="AA944" i="2" s="1"/>
  <c r="U912" i="2"/>
  <c r="AA912" i="2" s="1"/>
  <c r="U880" i="2"/>
  <c r="U848" i="2"/>
  <c r="AA848" i="2" s="1"/>
  <c r="U816" i="2"/>
  <c r="AA816" i="2" s="1"/>
  <c r="U784" i="2"/>
  <c r="AA784" i="2" s="1"/>
  <c r="U752" i="2"/>
  <c r="U720" i="2"/>
  <c r="AA720" i="2" s="1"/>
  <c r="U688" i="2"/>
  <c r="U656" i="2"/>
  <c r="AA656" i="2" s="1"/>
  <c r="U624" i="2"/>
  <c r="AA624" i="2" s="1"/>
  <c r="U592" i="2"/>
  <c r="AA592" i="2" s="1"/>
  <c r="U560" i="2"/>
  <c r="AA560" i="2" s="1"/>
  <c r="U528" i="2"/>
  <c r="AA528" i="2" s="1"/>
  <c r="U496" i="2"/>
  <c r="AA496" i="2" s="1"/>
  <c r="U464" i="2"/>
  <c r="AA464" i="2" s="1"/>
  <c r="U432" i="2"/>
  <c r="AA432" i="2" s="1"/>
  <c r="U400" i="2"/>
  <c r="AA400" i="2" s="1"/>
  <c r="U368" i="2"/>
  <c r="U336" i="2"/>
  <c r="AA336" i="2" s="1"/>
  <c r="U304" i="2"/>
  <c r="AA304" i="2" s="1"/>
  <c r="U272" i="2"/>
  <c r="AA272" i="2" s="1"/>
  <c r="U240" i="2"/>
  <c r="U208" i="2"/>
  <c r="AA208" i="2" s="1"/>
  <c r="U176" i="2"/>
  <c r="U144" i="2"/>
  <c r="U112" i="2"/>
  <c r="U80" i="2"/>
  <c r="U977" i="2"/>
  <c r="U945" i="2"/>
  <c r="U913" i="2"/>
  <c r="U881" i="2"/>
  <c r="U849" i="2"/>
  <c r="AA849" i="2" s="1"/>
  <c r="U817" i="2"/>
  <c r="U785" i="2"/>
  <c r="AA785" i="2" s="1"/>
  <c r="U753" i="2"/>
  <c r="AA753" i="2" s="1"/>
  <c r="U721" i="2"/>
  <c r="AA721" i="2" s="1"/>
  <c r="U689" i="2"/>
  <c r="U657" i="2"/>
  <c r="U625" i="2"/>
  <c r="AA625" i="2" s="1"/>
  <c r="U593" i="2"/>
  <c r="U561" i="2"/>
  <c r="AA561" i="2" s="1"/>
  <c r="U529" i="2"/>
  <c r="AA529" i="2" s="1"/>
  <c r="U497" i="2"/>
  <c r="AA497" i="2" s="1"/>
  <c r="U465" i="2"/>
  <c r="U433" i="2"/>
  <c r="AA433" i="2" s="1"/>
  <c r="U401" i="2"/>
  <c r="U369" i="2"/>
  <c r="AA369" i="2" s="1"/>
  <c r="U337" i="2"/>
  <c r="U305" i="2"/>
  <c r="AA305" i="2" s="1"/>
  <c r="U273" i="2"/>
  <c r="AA273" i="2" s="1"/>
  <c r="U241" i="2"/>
  <c r="AA241" i="2" s="1"/>
  <c r="U209" i="2"/>
  <c r="U177" i="2"/>
  <c r="AA177" i="2" s="1"/>
  <c r="U145" i="2"/>
  <c r="U113" i="2"/>
  <c r="AA113" i="2" s="1"/>
  <c r="U81" i="2"/>
  <c r="M14" i="2"/>
  <c r="P14" i="2" s="1"/>
  <c r="Q14" i="2" s="1"/>
  <c r="R14" i="2" s="1"/>
  <c r="Y338" i="2" s="1"/>
  <c r="M15" i="2"/>
  <c r="P15" i="2" s="1"/>
  <c r="Q15" i="2" s="1"/>
  <c r="R15" i="2" s="1"/>
  <c r="M16" i="2"/>
  <c r="P16" i="2" s="1"/>
  <c r="Q16" i="2" s="1"/>
  <c r="R16" i="2" s="1"/>
  <c r="Y340" i="2" s="1"/>
  <c r="M17" i="2"/>
  <c r="P17" i="2" s="1"/>
  <c r="Q17" i="2" s="1"/>
  <c r="R17" i="2" s="1"/>
  <c r="Z117" i="2" s="1"/>
  <c r="V85" i="2"/>
  <c r="AB85" i="2" s="1"/>
  <c r="V82" i="2"/>
  <c r="AB82" i="2" s="1"/>
  <c r="V81" i="2"/>
  <c r="AB81" i="2" s="1"/>
  <c r="V78" i="2"/>
  <c r="V77" i="2"/>
  <c r="V84" i="2"/>
  <c r="AB84" i="2" s="1"/>
  <c r="V80" i="2"/>
  <c r="AB80" i="2" s="1"/>
  <c r="V79" i="2"/>
  <c r="Y78" i="2"/>
  <c r="V76" i="2"/>
  <c r="Z78" i="2"/>
  <c r="V117" i="2"/>
  <c r="AB117" i="2" s="1"/>
  <c r="V114" i="2"/>
  <c r="AB114" i="2" s="1"/>
  <c r="V113" i="2"/>
  <c r="AB113" i="2" s="1"/>
  <c r="V110" i="2"/>
  <c r="V109" i="2"/>
  <c r="V116" i="2"/>
  <c r="AB116" i="2" s="1"/>
  <c r="V112" i="2"/>
  <c r="AB112" i="2" s="1"/>
  <c r="V111" i="2"/>
  <c r="V108" i="2"/>
  <c r="Z114" i="2"/>
  <c r="V149" i="2"/>
  <c r="AB149" i="2" s="1"/>
  <c r="V146" i="2"/>
  <c r="AB146" i="2" s="1"/>
  <c r="V145" i="2"/>
  <c r="AB145" i="2" s="1"/>
  <c r="Y143" i="2"/>
  <c r="V142" i="2"/>
  <c r="V141" i="2"/>
  <c r="V148" i="2"/>
  <c r="AB148" i="2" s="1"/>
  <c r="V144" i="2"/>
  <c r="AB144" i="2" s="1"/>
  <c r="V143" i="2"/>
  <c r="V140" i="2"/>
  <c r="Z146" i="2"/>
  <c r="V181" i="2"/>
  <c r="AB181" i="2" s="1"/>
  <c r="V178" i="2"/>
  <c r="AB178" i="2" s="1"/>
  <c r="V177" i="2"/>
  <c r="AB177" i="2" s="1"/>
  <c r="V174" i="2"/>
  <c r="V173" i="2"/>
  <c r="V180" i="2"/>
  <c r="AB180" i="2" s="1"/>
  <c r="V176" i="2"/>
  <c r="AB176" i="2" s="1"/>
  <c r="V175" i="2"/>
  <c r="V172" i="2"/>
  <c r="Z177" i="2"/>
  <c r="V213" i="2"/>
  <c r="AB213" i="2" s="1"/>
  <c r="V210" i="2"/>
  <c r="AB210" i="2" s="1"/>
  <c r="V209" i="2"/>
  <c r="AB209" i="2" s="1"/>
  <c r="V206" i="2"/>
  <c r="V205" i="2"/>
  <c r="V212" i="2"/>
  <c r="AB212" i="2" s="1"/>
  <c r="V208" i="2"/>
  <c r="AB208" i="2" s="1"/>
  <c r="V207" i="2"/>
  <c r="V204" i="2"/>
  <c r="Z210" i="2"/>
  <c r="Z207" i="2"/>
  <c r="V245" i="2"/>
  <c r="AB245" i="2" s="1"/>
  <c r="V242" i="2"/>
  <c r="AB242" i="2" s="1"/>
  <c r="V241" i="2"/>
  <c r="AB241" i="2" s="1"/>
  <c r="Y239" i="2"/>
  <c r="V238" i="2"/>
  <c r="V237" i="2"/>
  <c r="V244" i="2"/>
  <c r="AB244" i="2" s="1"/>
  <c r="V240" i="2"/>
  <c r="AB240" i="2" s="1"/>
  <c r="V239" i="2"/>
  <c r="Y238" i="2"/>
  <c r="V236" i="2"/>
  <c r="Z242" i="2"/>
  <c r="Z241" i="2"/>
  <c r="V277" i="2"/>
  <c r="AB277" i="2" s="1"/>
  <c r="V274" i="2"/>
  <c r="AB274" i="2" s="1"/>
  <c r="V273" i="2"/>
  <c r="AB273" i="2" s="1"/>
  <c r="V270" i="2"/>
  <c r="V269" i="2"/>
  <c r="V276" i="2"/>
  <c r="AB276" i="2" s="1"/>
  <c r="Y273" i="2"/>
  <c r="V272" i="2"/>
  <c r="AB272" i="2" s="1"/>
  <c r="V271" i="2"/>
  <c r="V268" i="2"/>
  <c r="Z271" i="2"/>
  <c r="V309" i="2"/>
  <c r="AB309" i="2" s="1"/>
  <c r="V306" i="2"/>
  <c r="AB306" i="2" s="1"/>
  <c r="V305" i="2"/>
  <c r="AB305" i="2" s="1"/>
  <c r="Y304" i="2"/>
  <c r="V302" i="2"/>
  <c r="V301" i="2"/>
  <c r="V308" i="2"/>
  <c r="AB308" i="2" s="1"/>
  <c r="V304" i="2"/>
  <c r="AB304" i="2" s="1"/>
  <c r="V303" i="2"/>
  <c r="Y301" i="2"/>
  <c r="V300" i="2"/>
  <c r="Z302" i="2"/>
  <c r="V341" i="2"/>
  <c r="AB341" i="2" s="1"/>
  <c r="Y341" i="2"/>
  <c r="V340" i="2"/>
  <c r="AB340" i="2" s="1"/>
  <c r="V338" i="2"/>
  <c r="AB338" i="2" s="1"/>
  <c r="V337" i="2"/>
  <c r="AB337" i="2" s="1"/>
  <c r="Y336" i="2"/>
  <c r="V334" i="2"/>
  <c r="V333" i="2"/>
  <c r="V336" i="2"/>
  <c r="AB336" i="2" s="1"/>
  <c r="V335" i="2"/>
  <c r="V332" i="2"/>
  <c r="Z341" i="2"/>
  <c r="Z336" i="2"/>
  <c r="U978" i="2"/>
  <c r="U946" i="2"/>
  <c r="U914" i="2"/>
  <c r="AA914" i="2" s="1"/>
  <c r="U882" i="2"/>
  <c r="AA882" i="2" s="1"/>
  <c r="U850" i="2"/>
  <c r="U818" i="2"/>
  <c r="U786" i="2"/>
  <c r="AA786" i="2" s="1"/>
  <c r="U754" i="2"/>
  <c r="AA754" i="2" s="1"/>
  <c r="U722" i="2"/>
  <c r="U690" i="2"/>
  <c r="U658" i="2"/>
  <c r="AA658" i="2" s="1"/>
  <c r="U626" i="2"/>
  <c r="AA626" i="2" s="1"/>
  <c r="U594" i="2"/>
  <c r="U562" i="2"/>
  <c r="U530" i="2"/>
  <c r="AA530" i="2" s="1"/>
  <c r="U498" i="2"/>
  <c r="AA498" i="2" s="1"/>
  <c r="U466" i="2"/>
  <c r="U434" i="2"/>
  <c r="U402" i="2"/>
  <c r="AA402" i="2" s="1"/>
  <c r="U370" i="2"/>
  <c r="AA370" i="2" s="1"/>
  <c r="U338" i="2"/>
  <c r="AA338" i="2" s="1"/>
  <c r="U306" i="2"/>
  <c r="U274" i="2"/>
  <c r="AA274" i="2" s="1"/>
  <c r="U242" i="2"/>
  <c r="U210" i="2"/>
  <c r="AA210" i="2" s="1"/>
  <c r="U178" i="2"/>
  <c r="U146" i="2"/>
  <c r="AA146" i="2" s="1"/>
  <c r="U114" i="2"/>
  <c r="U82" i="2"/>
  <c r="AA82" i="2" s="1"/>
  <c r="U980" i="2"/>
  <c r="U948" i="2"/>
  <c r="AA948" i="2" s="1"/>
  <c r="U916" i="2"/>
  <c r="U884" i="2"/>
  <c r="AA884" i="2" s="1"/>
  <c r="U852" i="2"/>
  <c r="AA852" i="2" s="1"/>
  <c r="U820" i="2"/>
  <c r="AA820" i="2" s="1"/>
  <c r="U788" i="2"/>
  <c r="U756" i="2"/>
  <c r="AA756" i="2" s="1"/>
  <c r="U724" i="2"/>
  <c r="U692" i="2"/>
  <c r="AA692" i="2" s="1"/>
  <c r="U660" i="2"/>
  <c r="U628" i="2"/>
  <c r="AA628" i="2" s="1"/>
  <c r="U596" i="2"/>
  <c r="U564" i="2"/>
  <c r="AA564" i="2" s="1"/>
  <c r="U532" i="2"/>
  <c r="U500" i="2"/>
  <c r="AA500" i="2" s="1"/>
  <c r="U468" i="2"/>
  <c r="U436" i="2"/>
  <c r="AA436" i="2" s="1"/>
  <c r="U404" i="2"/>
  <c r="U372" i="2"/>
  <c r="AA372" i="2" s="1"/>
  <c r="U340" i="2"/>
  <c r="U308" i="2"/>
  <c r="AA308" i="2" s="1"/>
  <c r="U276" i="2"/>
  <c r="U244" i="2"/>
  <c r="AA244" i="2" s="1"/>
  <c r="U212" i="2"/>
  <c r="U180" i="2"/>
  <c r="AA180" i="2" s="1"/>
  <c r="U148" i="2"/>
  <c r="U116" i="2"/>
  <c r="AA116" i="2" s="1"/>
  <c r="U84" i="2"/>
  <c r="U981" i="2"/>
  <c r="AA981" i="2" s="1"/>
  <c r="U949" i="2"/>
  <c r="AA949" i="2" s="1"/>
  <c r="U917" i="2"/>
  <c r="AA917" i="2" s="1"/>
  <c r="U885" i="2"/>
  <c r="AA885" i="2" s="1"/>
  <c r="U853" i="2"/>
  <c r="AA853" i="2" s="1"/>
  <c r="U821" i="2"/>
  <c r="AA821" i="2" s="1"/>
  <c r="U789" i="2"/>
  <c r="AA789" i="2" s="1"/>
  <c r="U757" i="2"/>
  <c r="U725" i="2"/>
  <c r="AA725" i="2" s="1"/>
  <c r="U693" i="2"/>
  <c r="U661" i="2"/>
  <c r="AA661" i="2" s="1"/>
  <c r="U629" i="2"/>
  <c r="U597" i="2"/>
  <c r="AA597" i="2" s="1"/>
  <c r="U565" i="2"/>
  <c r="U533" i="2"/>
  <c r="AA533" i="2" s="1"/>
  <c r="U501" i="2"/>
  <c r="U469" i="2"/>
  <c r="AA469" i="2" s="1"/>
  <c r="U437" i="2"/>
  <c r="AA437" i="2" s="1"/>
  <c r="U405" i="2"/>
  <c r="AA405" i="2" s="1"/>
  <c r="U373" i="2"/>
  <c r="U341" i="2"/>
  <c r="AA341" i="2" s="1"/>
  <c r="U309" i="2"/>
  <c r="U277" i="2"/>
  <c r="AA277" i="2" s="1"/>
  <c r="U245" i="2"/>
  <c r="U213" i="2"/>
  <c r="AA213" i="2" s="1"/>
  <c r="U181" i="2"/>
  <c r="U149" i="2"/>
  <c r="AA149" i="2" s="1"/>
  <c r="U117" i="2"/>
  <c r="U85" i="2"/>
  <c r="AA85" i="2" s="1"/>
  <c r="U35" i="2"/>
  <c r="U67" i="2"/>
  <c r="U70" i="2" s="1"/>
  <c r="U62" i="2" s="1"/>
  <c r="U99" i="2"/>
  <c r="U102" i="2" s="1"/>
  <c r="U94" i="2" s="1"/>
  <c r="U131" i="2"/>
  <c r="U134" i="2" s="1"/>
  <c r="U126" i="2" s="1"/>
  <c r="U163" i="2"/>
  <c r="U166" i="2" s="1"/>
  <c r="U158" i="2" s="1"/>
  <c r="U195" i="2"/>
  <c r="U198" i="2" s="1"/>
  <c r="U190" i="2" s="1"/>
  <c r="U227" i="2"/>
  <c r="U230" i="2" s="1"/>
  <c r="U222" i="2" s="1"/>
  <c r="U259" i="2"/>
  <c r="U262" i="2" s="1"/>
  <c r="U254" i="2" s="1"/>
  <c r="U291" i="2"/>
  <c r="U294" i="2" s="1"/>
  <c r="U286" i="2" s="1"/>
  <c r="U323" i="2"/>
  <c r="U326" i="2" s="1"/>
  <c r="U318" i="2" s="1"/>
  <c r="V405" i="2"/>
  <c r="AB405" i="2" s="1"/>
  <c r="V402" i="2"/>
  <c r="AB402" i="2" s="1"/>
  <c r="V401" i="2"/>
  <c r="AB401" i="2" s="1"/>
  <c r="V398" i="2"/>
  <c r="V397" i="2"/>
  <c r="Y405" i="2"/>
  <c r="V404" i="2"/>
  <c r="AB404" i="2" s="1"/>
  <c r="V400" i="2"/>
  <c r="AB400" i="2" s="1"/>
  <c r="V399" i="2"/>
  <c r="V396" i="2"/>
  <c r="Z401" i="2"/>
  <c r="Z399" i="2"/>
  <c r="V501" i="2"/>
  <c r="AB501" i="2" s="1"/>
  <c r="Y500" i="2"/>
  <c r="V498" i="2"/>
  <c r="AB498" i="2" s="1"/>
  <c r="V497" i="2"/>
  <c r="AB497" i="2" s="1"/>
  <c r="Y495" i="2"/>
  <c r="V494" i="2"/>
  <c r="V493" i="2"/>
  <c r="V500" i="2"/>
  <c r="AB500" i="2" s="1"/>
  <c r="V496" i="2"/>
  <c r="AB496" i="2" s="1"/>
  <c r="V495" i="2"/>
  <c r="Y494" i="2"/>
  <c r="V492" i="2"/>
  <c r="Z494" i="2"/>
  <c r="Y533" i="2"/>
  <c r="V532" i="2"/>
  <c r="AB532" i="2" s="1"/>
  <c r="V533" i="2"/>
  <c r="AB533" i="2" s="1"/>
  <c r="V530" i="2"/>
  <c r="AB530" i="2" s="1"/>
  <c r="V529" i="2"/>
  <c r="AB529" i="2" s="1"/>
  <c r="Y528" i="2"/>
  <c r="Y527" i="2"/>
  <c r="V526" i="2"/>
  <c r="V525" i="2"/>
  <c r="V528" i="2"/>
  <c r="AB528" i="2" s="1"/>
  <c r="V527" i="2"/>
  <c r="Y525" i="2"/>
  <c r="V524" i="2"/>
  <c r="Z528" i="2"/>
  <c r="V564" i="2"/>
  <c r="AB564" i="2" s="1"/>
  <c r="Y562" i="2"/>
  <c r="V560" i="2"/>
  <c r="AB560" i="2" s="1"/>
  <c r="V559" i="2"/>
  <c r="Y558" i="2"/>
  <c r="V556" i="2"/>
  <c r="V565" i="2"/>
  <c r="AB565" i="2" s="1"/>
  <c r="Y564" i="2"/>
  <c r="V562" i="2"/>
  <c r="AB562" i="2" s="1"/>
  <c r="V561" i="2"/>
  <c r="AB561" i="2" s="1"/>
  <c r="Y559" i="2"/>
  <c r="V558" i="2"/>
  <c r="V557" i="2"/>
  <c r="Z560" i="2"/>
  <c r="Z558" i="2"/>
  <c r="V596" i="2"/>
  <c r="AB596" i="2" s="1"/>
  <c r="Y593" i="2"/>
  <c r="V592" i="2"/>
  <c r="AB592" i="2" s="1"/>
  <c r="V591" i="2"/>
  <c r="Y589" i="2"/>
  <c r="V588" i="2"/>
  <c r="V597" i="2"/>
  <c r="AB597" i="2" s="1"/>
  <c r="V594" i="2"/>
  <c r="AB594" i="2" s="1"/>
  <c r="V593" i="2"/>
  <c r="AB593" i="2" s="1"/>
  <c r="V590" i="2"/>
  <c r="V589" i="2"/>
  <c r="Z591" i="2"/>
  <c r="Z590" i="2"/>
  <c r="V628" i="2"/>
  <c r="AB628" i="2" s="1"/>
  <c r="Y626" i="2"/>
  <c r="Y625" i="2"/>
  <c r="V624" i="2"/>
  <c r="AB624" i="2" s="1"/>
  <c r="V623" i="2"/>
  <c r="Y622" i="2"/>
  <c r="Y621" i="2"/>
  <c r="V620" i="2"/>
  <c r="V629" i="2"/>
  <c r="AB629" i="2" s="1"/>
  <c r="V626" i="2"/>
  <c r="AB626" i="2" s="1"/>
  <c r="V625" i="2"/>
  <c r="AB625" i="2" s="1"/>
  <c r="V622" i="2"/>
  <c r="V621" i="2"/>
  <c r="Z625" i="2"/>
  <c r="V660" i="2"/>
  <c r="AB660" i="2" s="1"/>
  <c r="Y658" i="2"/>
  <c r="V656" i="2"/>
  <c r="AB656" i="2" s="1"/>
  <c r="V655" i="2"/>
  <c r="Y654" i="2"/>
  <c r="V652" i="2"/>
  <c r="V661" i="2"/>
  <c r="AB661" i="2" s="1"/>
  <c r="V658" i="2"/>
  <c r="AB658" i="2" s="1"/>
  <c r="V657" i="2"/>
  <c r="AB657" i="2" s="1"/>
  <c r="Y655" i="2"/>
  <c r="V654" i="2"/>
  <c r="V653" i="2"/>
  <c r="Z654" i="2"/>
  <c r="V756" i="2"/>
  <c r="AB756" i="2" s="1"/>
  <c r="Y753" i="2"/>
  <c r="V752" i="2"/>
  <c r="AB752" i="2" s="1"/>
  <c r="V751" i="2"/>
  <c r="Y749" i="2"/>
  <c r="V748" i="2"/>
  <c r="V757" i="2"/>
  <c r="AB757" i="2" s="1"/>
  <c r="V754" i="2"/>
  <c r="AB754" i="2" s="1"/>
  <c r="V753" i="2"/>
  <c r="AB753" i="2" s="1"/>
  <c r="V750" i="2"/>
  <c r="V749" i="2"/>
  <c r="Z751" i="2"/>
  <c r="Z750" i="2"/>
  <c r="V788" i="2"/>
  <c r="AB788" i="2" s="1"/>
  <c r="Y786" i="2"/>
  <c r="Y785" i="2"/>
  <c r="V784" i="2"/>
  <c r="AB784" i="2" s="1"/>
  <c r="V783" i="2"/>
  <c r="Y782" i="2"/>
  <c r="Y781" i="2"/>
  <c r="V780" i="2"/>
  <c r="V789" i="2"/>
  <c r="AB789" i="2" s="1"/>
  <c r="V786" i="2"/>
  <c r="AB786" i="2" s="1"/>
  <c r="V785" i="2"/>
  <c r="AB785" i="2" s="1"/>
  <c r="Y783" i="2"/>
  <c r="V782" i="2"/>
  <c r="V781" i="2"/>
  <c r="Z783" i="2"/>
  <c r="Z782" i="2"/>
  <c r="U902" i="2"/>
  <c r="U894" i="2" s="1"/>
  <c r="V884" i="2"/>
  <c r="AB884" i="2" s="1"/>
  <c r="V880" i="2"/>
  <c r="AB880" i="2" s="1"/>
  <c r="V879" i="2"/>
  <c r="V876" i="2"/>
  <c r="V885" i="2"/>
  <c r="AB885" i="2" s="1"/>
  <c r="V882" i="2"/>
  <c r="AB882" i="2" s="1"/>
  <c r="V881" i="2"/>
  <c r="AB881" i="2" s="1"/>
  <c r="V878" i="2"/>
  <c r="V877" i="2"/>
  <c r="Z882" i="2"/>
  <c r="Z881" i="2"/>
  <c r="U934" i="2"/>
  <c r="U926" i="2" s="1"/>
  <c r="V917" i="2"/>
  <c r="AB917" i="2" s="1"/>
  <c r="V914" i="2"/>
  <c r="AB914" i="2" s="1"/>
  <c r="V913" i="2"/>
  <c r="AB913" i="2" s="1"/>
  <c r="Y912" i="2"/>
  <c r="V916" i="2"/>
  <c r="AB916" i="2" s="1"/>
  <c r="Y914" i="2"/>
  <c r="Y913" i="2"/>
  <c r="V912" i="2"/>
  <c r="AB912" i="2" s="1"/>
  <c r="V911" i="2"/>
  <c r="Y910" i="2"/>
  <c r="Y909" i="2"/>
  <c r="V910" i="2"/>
  <c r="V908" i="2"/>
  <c r="V909" i="2"/>
  <c r="Z917" i="2"/>
  <c r="Z912" i="2"/>
  <c r="Z910" i="2"/>
  <c r="U358" i="2"/>
  <c r="U350" i="2" s="1"/>
  <c r="U390" i="2"/>
  <c r="U382" i="2" s="1"/>
  <c r="V373" i="2"/>
  <c r="AB373" i="2" s="1"/>
  <c r="V370" i="2"/>
  <c r="AB370" i="2" s="1"/>
  <c r="V369" i="2"/>
  <c r="AB369" i="2" s="1"/>
  <c r="Y368" i="2"/>
  <c r="Y367" i="2"/>
  <c r="V366" i="2"/>
  <c r="V365" i="2"/>
  <c r="V372" i="2"/>
  <c r="AB372" i="2" s="1"/>
  <c r="V368" i="2"/>
  <c r="AB368" i="2" s="1"/>
  <c r="V367" i="2"/>
  <c r="Y366" i="2"/>
  <c r="V364" i="2"/>
  <c r="Z370" i="2"/>
  <c r="Z366" i="2"/>
  <c r="U454" i="2"/>
  <c r="U446" i="2" s="1"/>
  <c r="V437" i="2"/>
  <c r="AB437" i="2" s="1"/>
  <c r="V434" i="2"/>
  <c r="AB434" i="2" s="1"/>
  <c r="V433" i="2"/>
  <c r="AB433" i="2" s="1"/>
  <c r="V430" i="2"/>
  <c r="V429" i="2"/>
  <c r="V436" i="2"/>
  <c r="AB436" i="2" s="1"/>
  <c r="V432" i="2"/>
  <c r="AB432" i="2" s="1"/>
  <c r="V431" i="2"/>
  <c r="Y429" i="2"/>
  <c r="V428" i="2"/>
  <c r="U486" i="2"/>
  <c r="U478" i="2" s="1"/>
  <c r="V469" i="2"/>
  <c r="AB469" i="2" s="1"/>
  <c r="V466" i="2"/>
  <c r="AB466" i="2" s="1"/>
  <c r="V465" i="2"/>
  <c r="AB465" i="2" s="1"/>
  <c r="V462" i="2"/>
  <c r="V461" i="2"/>
  <c r="V468" i="2"/>
  <c r="AB468" i="2" s="1"/>
  <c r="V464" i="2"/>
  <c r="AB464" i="2" s="1"/>
  <c r="V463" i="2"/>
  <c r="V460" i="2"/>
  <c r="Z469" i="2"/>
  <c r="Z463" i="2"/>
  <c r="U710" i="2"/>
  <c r="U702" i="2" s="1"/>
  <c r="V692" i="2"/>
  <c r="AB692" i="2" s="1"/>
  <c r="Y690" i="2"/>
  <c r="V688" i="2"/>
  <c r="AB688" i="2" s="1"/>
  <c r="V687" i="2"/>
  <c r="Y686" i="2"/>
  <c r="V684" i="2"/>
  <c r="V693" i="2"/>
  <c r="AB693" i="2" s="1"/>
  <c r="V690" i="2"/>
  <c r="AB690" i="2" s="1"/>
  <c r="V689" i="2"/>
  <c r="AB689" i="2" s="1"/>
  <c r="V686" i="2"/>
  <c r="V685" i="2"/>
  <c r="Z690" i="2"/>
  <c r="U742" i="2"/>
  <c r="U734" i="2" s="1"/>
  <c r="V724" i="2"/>
  <c r="AB724" i="2" s="1"/>
  <c r="V720" i="2"/>
  <c r="AB720" i="2" s="1"/>
  <c r="V725" i="2"/>
  <c r="AB725" i="2" s="1"/>
  <c r="V722" i="2"/>
  <c r="AB722" i="2" s="1"/>
  <c r="V721" i="2"/>
  <c r="AB721" i="2" s="1"/>
  <c r="V719" i="2"/>
  <c r="Y718" i="2"/>
  <c r="V716" i="2"/>
  <c r="V718" i="2"/>
  <c r="V717" i="2"/>
  <c r="Z722" i="2"/>
  <c r="Z721" i="2"/>
  <c r="U838" i="2"/>
  <c r="U830" i="2" s="1"/>
  <c r="V820" i="2"/>
  <c r="AB820" i="2" s="1"/>
  <c r="V816" i="2"/>
  <c r="AB816" i="2" s="1"/>
  <c r="V821" i="2"/>
  <c r="AB821" i="2" s="1"/>
  <c r="V818" i="2"/>
  <c r="AB818" i="2" s="1"/>
  <c r="V817" i="2"/>
  <c r="AB817" i="2" s="1"/>
  <c r="Y815" i="2"/>
  <c r="V815" i="2"/>
  <c r="V812" i="2"/>
  <c r="V814" i="2"/>
  <c r="V813" i="2"/>
  <c r="Z815" i="2"/>
  <c r="Z821" i="2"/>
  <c r="U870" i="2"/>
  <c r="U862" i="2" s="1"/>
  <c r="V852" i="2"/>
  <c r="AB852" i="2" s="1"/>
  <c r="Y850" i="2"/>
  <c r="V848" i="2"/>
  <c r="AB848" i="2" s="1"/>
  <c r="V847" i="2"/>
  <c r="Y846" i="2"/>
  <c r="V844" i="2"/>
  <c r="V853" i="2"/>
  <c r="AB853" i="2" s="1"/>
  <c r="V850" i="2"/>
  <c r="AB850" i="2" s="1"/>
  <c r="V849" i="2"/>
  <c r="AB849" i="2" s="1"/>
  <c r="Y848" i="2"/>
  <c r="Y847" i="2"/>
  <c r="V846" i="2"/>
  <c r="V845" i="2"/>
  <c r="Z852" i="2"/>
  <c r="Z846" i="2"/>
  <c r="V949" i="2"/>
  <c r="AB949" i="2" s="1"/>
  <c r="V948" i="2"/>
  <c r="AB948" i="2" s="1"/>
  <c r="V946" i="2"/>
  <c r="AB946" i="2" s="1"/>
  <c r="V945" i="2"/>
  <c r="AB945" i="2" s="1"/>
  <c r="V942" i="2"/>
  <c r="V941" i="2"/>
  <c r="V944" i="2"/>
  <c r="AB944" i="2" s="1"/>
  <c r="V943" i="2"/>
  <c r="Y942" i="2"/>
  <c r="V940" i="2"/>
  <c r="Z945" i="2"/>
  <c r="U998" i="2"/>
  <c r="U990" i="2" s="1"/>
  <c r="AA980" i="2"/>
  <c r="AA978" i="2"/>
  <c r="AA977" i="2"/>
  <c r="V981" i="2"/>
  <c r="AB981" i="2" s="1"/>
  <c r="V978" i="2"/>
  <c r="AB978" i="2" s="1"/>
  <c r="V977" i="2"/>
  <c r="AB977" i="2" s="1"/>
  <c r="V974" i="2"/>
  <c r="V973" i="2"/>
  <c r="V980" i="2"/>
  <c r="AB980" i="2" s="1"/>
  <c r="V976" i="2"/>
  <c r="AB976" i="2" s="1"/>
  <c r="V975" i="2"/>
  <c r="V972" i="2"/>
  <c r="Z981" i="2"/>
  <c r="T979" i="2"/>
  <c r="T41" i="1"/>
  <c r="T947" i="2"/>
  <c r="U947" i="2" s="1"/>
  <c r="AA947" i="2" s="1"/>
  <c r="T915" i="2"/>
  <c r="T883" i="2"/>
  <c r="U883" i="2" s="1"/>
  <c r="T851" i="2"/>
  <c r="V851" i="2" s="1"/>
  <c r="AB851" i="2" s="1"/>
  <c r="T819" i="2"/>
  <c r="U819" i="2" s="1"/>
  <c r="AA819" i="2" s="1"/>
  <c r="T787" i="2"/>
  <c r="V787" i="2" s="1"/>
  <c r="AB787" i="2" s="1"/>
  <c r="T755" i="2"/>
  <c r="U755" i="2" s="1"/>
  <c r="T723" i="2"/>
  <c r="V723" i="2" s="1"/>
  <c r="AB723" i="2" s="1"/>
  <c r="T691" i="2"/>
  <c r="U691" i="2" s="1"/>
  <c r="AA691" i="2" s="1"/>
  <c r="T659" i="2"/>
  <c r="V659" i="2" s="1"/>
  <c r="AB659" i="2" s="1"/>
  <c r="T627" i="2"/>
  <c r="U627" i="2" s="1"/>
  <c r="T595" i="2"/>
  <c r="V595" i="2" s="1"/>
  <c r="AB595" i="2" s="1"/>
  <c r="T563" i="2"/>
  <c r="U563" i="2" s="1"/>
  <c r="AA563" i="2" s="1"/>
  <c r="T531" i="2"/>
  <c r="V531" i="2" s="1"/>
  <c r="AB531" i="2" s="1"/>
  <c r="T499" i="2"/>
  <c r="U499" i="2" s="1"/>
  <c r="T467" i="2"/>
  <c r="V467" i="2" s="1"/>
  <c r="AB467" i="2" s="1"/>
  <c r="T435" i="2"/>
  <c r="U435" i="2" s="1"/>
  <c r="AA435" i="2" s="1"/>
  <c r="T403" i="2"/>
  <c r="T371" i="2"/>
  <c r="U371" i="2" s="1"/>
  <c r="T339" i="2"/>
  <c r="V339" i="2" s="1"/>
  <c r="AB339" i="2" s="1"/>
  <c r="T307" i="2"/>
  <c r="V307" i="2" s="1"/>
  <c r="AB307" i="2" s="1"/>
  <c r="T275" i="2"/>
  <c r="V275" i="2" s="1"/>
  <c r="AB275" i="2" s="1"/>
  <c r="T243" i="2"/>
  <c r="V243" i="2" s="1"/>
  <c r="AB243" i="2" s="1"/>
  <c r="T211" i="2"/>
  <c r="V211" i="2" s="1"/>
  <c r="AB211" i="2" s="1"/>
  <c r="T179" i="2"/>
  <c r="V179" i="2" s="1"/>
  <c r="AB179" i="2" s="1"/>
  <c r="T147" i="2"/>
  <c r="V147" i="2" s="1"/>
  <c r="AB147" i="2" s="1"/>
  <c r="T115" i="2"/>
  <c r="V115" i="2" s="1"/>
  <c r="AB115" i="2" s="1"/>
  <c r="T83" i="2"/>
  <c r="V83" i="2" s="1"/>
  <c r="AB83" i="2" s="1"/>
  <c r="D24" i="2"/>
  <c r="Q46" i="1"/>
  <c r="F58" i="1"/>
  <c r="F57" i="1"/>
  <c r="F56" i="1"/>
  <c r="L55" i="1"/>
  <c r="F55" i="1"/>
  <c r="F54" i="1"/>
  <c r="P46" i="1"/>
  <c r="P45" i="1"/>
  <c r="P44" i="1"/>
  <c r="P43" i="1"/>
  <c r="P42" i="1"/>
  <c r="W30" i="1" l="1"/>
  <c r="AC30" i="1" s="1"/>
  <c r="AI30" i="1" s="1"/>
  <c r="AA30" i="1"/>
  <c r="AG30" i="1" s="1"/>
  <c r="AM30" i="1" s="1"/>
  <c r="Y30" i="1"/>
  <c r="AE30" i="1" s="1"/>
  <c r="AK30" i="1" s="1"/>
  <c r="X30" i="1"/>
  <c r="AD30" i="1" s="1"/>
  <c r="AJ30" i="1" s="1"/>
  <c r="Z30" i="1"/>
  <c r="AF30" i="1" s="1"/>
  <c r="AL30" i="1" s="1"/>
  <c r="V30" i="1"/>
  <c r="AB30" i="1" s="1"/>
  <c r="AH30" i="1" s="1"/>
  <c r="Z948" i="2"/>
  <c r="Y880" i="2"/>
  <c r="Y752" i="2"/>
  <c r="Z660" i="2"/>
  <c r="Y656" i="2"/>
  <c r="Y628" i="2"/>
  <c r="Z596" i="2"/>
  <c r="Y148" i="2"/>
  <c r="Z80" i="2"/>
  <c r="W333" i="2"/>
  <c r="X333" i="2" s="1"/>
  <c r="W525" i="2"/>
  <c r="X525" i="2" s="1"/>
  <c r="W689" i="2"/>
  <c r="X689" i="2" s="1"/>
  <c r="W849" i="2"/>
  <c r="X849" i="2" s="1"/>
  <c r="Z980" i="2"/>
  <c r="Z848" i="2"/>
  <c r="Y852" i="2"/>
  <c r="Z724" i="2"/>
  <c r="Y436" i="2"/>
  <c r="Y372" i="2"/>
  <c r="Z884" i="2"/>
  <c r="Y788" i="2"/>
  <c r="Z756" i="2"/>
  <c r="Y532" i="2"/>
  <c r="Z500" i="2"/>
  <c r="Y400" i="2"/>
  <c r="Z304" i="2"/>
  <c r="Y242" i="2"/>
  <c r="Z976" i="2"/>
  <c r="Z468" i="2"/>
  <c r="Z436" i="2"/>
  <c r="Z784" i="2"/>
  <c r="Z656" i="2"/>
  <c r="Y660" i="2"/>
  <c r="Y592" i="2"/>
  <c r="Z564" i="2"/>
  <c r="Y560" i="2"/>
  <c r="Y498" i="2"/>
  <c r="Z277" i="2"/>
  <c r="Y85" i="2"/>
  <c r="AG85" i="2" s="1"/>
  <c r="AG86" i="2" s="1"/>
  <c r="W173" i="2"/>
  <c r="X173" i="2" s="1"/>
  <c r="W268" i="2"/>
  <c r="X268" i="2" s="1"/>
  <c r="W716" i="2"/>
  <c r="X716" i="2" s="1"/>
  <c r="Y11" i="2"/>
  <c r="V11" i="2"/>
  <c r="AA52" i="2"/>
  <c r="AA48" i="2"/>
  <c r="V16" i="2"/>
  <c r="AB16" i="2" s="1"/>
  <c r="U8" i="2"/>
  <c r="X753" i="2"/>
  <c r="AC753" i="2"/>
  <c r="Z849" i="2"/>
  <c r="Y821" i="2"/>
  <c r="AG821" i="2" s="1"/>
  <c r="AG822" i="2" s="1"/>
  <c r="Y721" i="2"/>
  <c r="Z693" i="2"/>
  <c r="Y465" i="2"/>
  <c r="Z433" i="2"/>
  <c r="Y433" i="2"/>
  <c r="Y373" i="2"/>
  <c r="Z657" i="2"/>
  <c r="Z629" i="2"/>
  <c r="Z561" i="2"/>
  <c r="Z529" i="2"/>
  <c r="Y529" i="2"/>
  <c r="Z405" i="2"/>
  <c r="Y309" i="2"/>
  <c r="Y209" i="2"/>
  <c r="Z181" i="2"/>
  <c r="W785" i="2"/>
  <c r="U10" i="2"/>
  <c r="V10" i="2"/>
  <c r="W8" i="2"/>
  <c r="X8" i="2" s="1"/>
  <c r="W972" i="2"/>
  <c r="X972" i="2" s="1"/>
  <c r="W941" i="2"/>
  <c r="X941" i="2" s="1"/>
  <c r="W877" i="2"/>
  <c r="X877" i="2" s="1"/>
  <c r="W908" i="2"/>
  <c r="X908" i="2" s="1"/>
  <c r="W844" i="2"/>
  <c r="X844" i="2" s="1"/>
  <c r="W781" i="2"/>
  <c r="X781" i="2" s="1"/>
  <c r="W812" i="2"/>
  <c r="X812" i="2" s="1"/>
  <c r="W748" i="2"/>
  <c r="X748" i="2" s="1"/>
  <c r="W685" i="2"/>
  <c r="X685" i="2" s="1"/>
  <c r="W621" i="2"/>
  <c r="X621" i="2" s="1"/>
  <c r="W557" i="2"/>
  <c r="X557" i="2" s="1"/>
  <c r="W620" i="2"/>
  <c r="X620" i="2" s="1"/>
  <c r="W492" i="2"/>
  <c r="X492" i="2" s="1"/>
  <c r="W364" i="2"/>
  <c r="X364" i="2" s="1"/>
  <c r="W429" i="2"/>
  <c r="X429" i="2" s="1"/>
  <c r="W300" i="2"/>
  <c r="X300" i="2" s="1"/>
  <c r="W172" i="2"/>
  <c r="X172" i="2" s="1"/>
  <c r="W45" i="2"/>
  <c r="X45" i="2" s="1"/>
  <c r="W237" i="2"/>
  <c r="X237" i="2" s="1"/>
  <c r="W109" i="2"/>
  <c r="X109" i="2" s="1"/>
  <c r="Y82" i="2"/>
  <c r="Y77" i="2"/>
  <c r="Y116" i="2"/>
  <c r="Y113" i="2"/>
  <c r="Y146" i="2"/>
  <c r="Y141" i="2"/>
  <c r="Y180" i="2"/>
  <c r="Y177" i="2"/>
  <c r="Y212" i="2"/>
  <c r="Y207" i="2"/>
  <c r="Y240" i="2"/>
  <c r="Y245" i="2"/>
  <c r="Y274" i="2"/>
  <c r="Y270" i="2"/>
  <c r="Y308" i="2"/>
  <c r="Y303" i="2"/>
  <c r="Y335" i="2"/>
  <c r="Y337" i="2"/>
  <c r="Y333" i="2"/>
  <c r="W973" i="2"/>
  <c r="X973" i="2" s="1"/>
  <c r="W909" i="2"/>
  <c r="X909" i="2" s="1"/>
  <c r="W817" i="2"/>
  <c r="X817" i="2" s="1"/>
  <c r="W816" i="2"/>
  <c r="X816" i="2" s="1"/>
  <c r="W749" i="2"/>
  <c r="X749" i="2" s="1"/>
  <c r="W752" i="2"/>
  <c r="X752" i="2" s="1"/>
  <c r="W657" i="2"/>
  <c r="W589" i="2"/>
  <c r="X589" i="2" s="1"/>
  <c r="W652" i="2"/>
  <c r="X652" i="2" s="1"/>
  <c r="W460" i="2"/>
  <c r="X460" i="2" s="1"/>
  <c r="W493" i="2"/>
  <c r="X493" i="2" s="1"/>
  <c r="W332" i="2"/>
  <c r="X332" i="2" s="1"/>
  <c r="W140" i="2"/>
  <c r="X140" i="2" s="1"/>
  <c r="W301" i="2"/>
  <c r="X301" i="2" s="1"/>
  <c r="W141" i="2"/>
  <c r="X141" i="2" s="1"/>
  <c r="Y84" i="2"/>
  <c r="Y79" i="2"/>
  <c r="Y111" i="2"/>
  <c r="Y114" i="2"/>
  <c r="Y210" i="2"/>
  <c r="Y206" i="2"/>
  <c r="Y276" i="2"/>
  <c r="Y271" i="2"/>
  <c r="Y269" i="2"/>
  <c r="Y306" i="2"/>
  <c r="Y302" i="2"/>
  <c r="Y402" i="2"/>
  <c r="Y398" i="2"/>
  <c r="Y497" i="2"/>
  <c r="Y493" i="2"/>
  <c r="Y565" i="2"/>
  <c r="Y594" i="2"/>
  <c r="Y590" i="2"/>
  <c r="Y596" i="2"/>
  <c r="Y591" i="2"/>
  <c r="Y624" i="2"/>
  <c r="Y661" i="2"/>
  <c r="AG661" i="2" s="1"/>
  <c r="AG662" i="2" s="1"/>
  <c r="Y754" i="2"/>
  <c r="Y750" i="2"/>
  <c r="Y756" i="2"/>
  <c r="Y751" i="2"/>
  <c r="Y789" i="2"/>
  <c r="AG789" i="2" s="1"/>
  <c r="AG790" i="2" s="1"/>
  <c r="Y885" i="2"/>
  <c r="AG885" i="2" s="1"/>
  <c r="AG886" i="2" s="1"/>
  <c r="Y917" i="2"/>
  <c r="AG917" i="2" s="1"/>
  <c r="AG918" i="2" s="1"/>
  <c r="Y369" i="2"/>
  <c r="Y365" i="2"/>
  <c r="Y432" i="2"/>
  <c r="Y437" i="2"/>
  <c r="AG437" i="2" s="1"/>
  <c r="AG438" i="2" s="1"/>
  <c r="Y466" i="2"/>
  <c r="Y462" i="2"/>
  <c r="Y689" i="2"/>
  <c r="Y685" i="2"/>
  <c r="Y725" i="2"/>
  <c r="AG725" i="2" s="1"/>
  <c r="AG726" i="2" s="1"/>
  <c r="Y717" i="2"/>
  <c r="Y816" i="2"/>
  <c r="Y813" i="2"/>
  <c r="Y853" i="2"/>
  <c r="AG853" i="2" s="1"/>
  <c r="AG854" i="2" s="1"/>
  <c r="Y943" i="2"/>
  <c r="Y945" i="2"/>
  <c r="Y941" i="2"/>
  <c r="Y976" i="2"/>
  <c r="Y981" i="2"/>
  <c r="W940" i="2"/>
  <c r="X940" i="2" s="1"/>
  <c r="W881" i="2"/>
  <c r="X881" i="2" s="1"/>
  <c r="W880" i="2"/>
  <c r="X880" i="2" s="1"/>
  <c r="W813" i="2"/>
  <c r="X813" i="2" s="1"/>
  <c r="W721" i="2"/>
  <c r="W720" i="2"/>
  <c r="X720" i="2" s="1"/>
  <c r="W653" i="2"/>
  <c r="X653" i="2" s="1"/>
  <c r="W561" i="2"/>
  <c r="W588" i="2"/>
  <c r="X588" i="2" s="1"/>
  <c r="W428" i="2"/>
  <c r="X428" i="2" s="1"/>
  <c r="W461" i="2"/>
  <c r="X461" i="2" s="1"/>
  <c r="Z84" i="2"/>
  <c r="Z116" i="2"/>
  <c r="Z148" i="2"/>
  <c r="Z180" i="2"/>
  <c r="Z213" i="2"/>
  <c r="Z212" i="2"/>
  <c r="Z238" i="2"/>
  <c r="Z274" i="2"/>
  <c r="Z272" i="2"/>
  <c r="Z309" i="2"/>
  <c r="Z308" i="2"/>
  <c r="Z338" i="2"/>
  <c r="Z335" i="2"/>
  <c r="Z79" i="2"/>
  <c r="Z111" i="2"/>
  <c r="Z142" i="2"/>
  <c r="Z178" i="2"/>
  <c r="Z209" i="2"/>
  <c r="Z245" i="2"/>
  <c r="Z240" i="2"/>
  <c r="Z270" i="2"/>
  <c r="Z305" i="2"/>
  <c r="Z340" i="2"/>
  <c r="Z402" i="2"/>
  <c r="Z400" i="2"/>
  <c r="Z497" i="2"/>
  <c r="Z495" i="2"/>
  <c r="Z532" i="2"/>
  <c r="Z526" i="2"/>
  <c r="Z565" i="2"/>
  <c r="Z592" i="2"/>
  <c r="Z593" i="2"/>
  <c r="Z628" i="2"/>
  <c r="Z626" i="2"/>
  <c r="Z661" i="2"/>
  <c r="Z752" i="2"/>
  <c r="Z753" i="2"/>
  <c r="Z789" i="2"/>
  <c r="Z885" i="2"/>
  <c r="Z914" i="2"/>
  <c r="Z911" i="2"/>
  <c r="Z369" i="2"/>
  <c r="Z367" i="2"/>
  <c r="Z430" i="2"/>
  <c r="Z466" i="2"/>
  <c r="Z464" i="2"/>
  <c r="Z687" i="2"/>
  <c r="Z686" i="2"/>
  <c r="Z725" i="2"/>
  <c r="Z820" i="2"/>
  <c r="Z818" i="2"/>
  <c r="Z853" i="2"/>
  <c r="Z946" i="2"/>
  <c r="Z943" i="2"/>
  <c r="Z974" i="2"/>
  <c r="Z977" i="2"/>
  <c r="Y973" i="2"/>
  <c r="Y977" i="2"/>
  <c r="Y980" i="2"/>
  <c r="Z944" i="2"/>
  <c r="Z949" i="2"/>
  <c r="Y944" i="2"/>
  <c r="Y949" i="2"/>
  <c r="AG949" i="2" s="1"/>
  <c r="AG950" i="2" s="1"/>
  <c r="Z850" i="2"/>
  <c r="Z814" i="2"/>
  <c r="Z816" i="2"/>
  <c r="Y814" i="2"/>
  <c r="Y817" i="2"/>
  <c r="Z719" i="2"/>
  <c r="Y724" i="2"/>
  <c r="Y722" i="2"/>
  <c r="Z688" i="2"/>
  <c r="Y687" i="2"/>
  <c r="Y692" i="2"/>
  <c r="Y693" i="2"/>
  <c r="Z462" i="2"/>
  <c r="Y461" i="2"/>
  <c r="Y463" i="2"/>
  <c r="Y468" i="2"/>
  <c r="Z431" i="2"/>
  <c r="Z434" i="2"/>
  <c r="Y430" i="2"/>
  <c r="Y434" i="2"/>
  <c r="Y431" i="2"/>
  <c r="Z368" i="2"/>
  <c r="Z373" i="2"/>
  <c r="Z916" i="2"/>
  <c r="Z879" i="2"/>
  <c r="Y877" i="2"/>
  <c r="Y881" i="2"/>
  <c r="AA881" i="2"/>
  <c r="Z785" i="2"/>
  <c r="Z788" i="2"/>
  <c r="Y784" i="2"/>
  <c r="Z754" i="2"/>
  <c r="Y757" i="2"/>
  <c r="Z658" i="2"/>
  <c r="Z623" i="2"/>
  <c r="Y623" i="2"/>
  <c r="Z594" i="2"/>
  <c r="Y597" i="2"/>
  <c r="AG597" i="2" s="1"/>
  <c r="AG598" i="2" s="1"/>
  <c r="Z562" i="2"/>
  <c r="Z530" i="2"/>
  <c r="Y526" i="2"/>
  <c r="Y530" i="2"/>
  <c r="Z498" i="2"/>
  <c r="Y501" i="2"/>
  <c r="Y496" i="2"/>
  <c r="Z404" i="2"/>
  <c r="Y401" i="2"/>
  <c r="Z334" i="2"/>
  <c r="Y334" i="2"/>
  <c r="Z306" i="2"/>
  <c r="Z276" i="2"/>
  <c r="Y277" i="2"/>
  <c r="AG277" i="2" s="1"/>
  <c r="AG278" i="2" s="1"/>
  <c r="Z239" i="2"/>
  <c r="Z208" i="2"/>
  <c r="Y205" i="2"/>
  <c r="Y208" i="2"/>
  <c r="Y178" i="2"/>
  <c r="Y175" i="2"/>
  <c r="Z143" i="2"/>
  <c r="Y142" i="2"/>
  <c r="Y149" i="2"/>
  <c r="AG149" i="2" s="1"/>
  <c r="AG150" i="2" s="1"/>
  <c r="Y144" i="2"/>
  <c r="Z82" i="2"/>
  <c r="W947" i="2"/>
  <c r="X947" i="2" s="1"/>
  <c r="AA817" i="2"/>
  <c r="W9" i="2"/>
  <c r="X9" i="2" s="1"/>
  <c r="W205" i="2"/>
  <c r="X205" i="2" s="1"/>
  <c r="W108" i="2"/>
  <c r="X108" i="2" s="1"/>
  <c r="W365" i="2"/>
  <c r="X365" i="2" s="1"/>
  <c r="W524" i="2"/>
  <c r="X524" i="2" s="1"/>
  <c r="W593" i="2"/>
  <c r="W780" i="2"/>
  <c r="X780" i="2" s="1"/>
  <c r="W848" i="2"/>
  <c r="X848" i="2" s="1"/>
  <c r="W913" i="2"/>
  <c r="M55" i="1"/>
  <c r="AA40" i="1"/>
  <c r="AG40" i="1" s="1"/>
  <c r="AM40" i="1" s="1"/>
  <c r="Y40" i="1"/>
  <c r="AE40" i="1" s="1"/>
  <c r="AK40" i="1" s="1"/>
  <c r="W40" i="1"/>
  <c r="AC40" i="1" s="1"/>
  <c r="AI40" i="1" s="1"/>
  <c r="X40" i="1"/>
  <c r="AD40" i="1" s="1"/>
  <c r="AJ40" i="1" s="1"/>
  <c r="Z40" i="1"/>
  <c r="AF40" i="1" s="1"/>
  <c r="AL40" i="1" s="1"/>
  <c r="V40" i="1"/>
  <c r="AB40" i="1" s="1"/>
  <c r="AH40" i="1" s="1"/>
  <c r="Y403" i="2"/>
  <c r="Y915" i="2"/>
  <c r="Z975" i="2"/>
  <c r="Z978" i="2"/>
  <c r="Y974" i="2"/>
  <c r="Y978" i="2"/>
  <c r="Y975" i="2"/>
  <c r="Z942" i="2"/>
  <c r="Y946" i="2"/>
  <c r="Y948" i="2"/>
  <c r="Z847" i="2"/>
  <c r="Y845" i="2"/>
  <c r="Y849" i="2"/>
  <c r="Z817" i="2"/>
  <c r="Y820" i="2"/>
  <c r="Y818" i="2"/>
  <c r="Z718" i="2"/>
  <c r="Z720" i="2"/>
  <c r="Y719" i="2"/>
  <c r="Y720" i="2"/>
  <c r="Z689" i="2"/>
  <c r="Z692" i="2"/>
  <c r="Y688" i="2"/>
  <c r="Z465" i="2"/>
  <c r="Y469" i="2"/>
  <c r="AG469" i="2" s="1"/>
  <c r="AG470" i="2" s="1"/>
  <c r="Y464" i="2"/>
  <c r="Z432" i="2"/>
  <c r="Z437" i="2"/>
  <c r="Z372" i="2"/>
  <c r="Y370" i="2"/>
  <c r="Z913" i="2"/>
  <c r="Y911" i="2"/>
  <c r="Y916" i="2"/>
  <c r="Z878" i="2"/>
  <c r="Z880" i="2"/>
  <c r="Y879" i="2"/>
  <c r="Y884" i="2"/>
  <c r="Y878" i="2"/>
  <c r="Y882" i="2"/>
  <c r="Z786" i="2"/>
  <c r="Z757" i="2"/>
  <c r="Z655" i="2"/>
  <c r="Y653" i="2"/>
  <c r="Y657" i="2"/>
  <c r="Z622" i="2"/>
  <c r="Z624" i="2"/>
  <c r="Y629" i="2"/>
  <c r="Z597" i="2"/>
  <c r="Z559" i="2"/>
  <c r="Y557" i="2"/>
  <c r="Y561" i="2"/>
  <c r="Z527" i="2"/>
  <c r="Z533" i="2"/>
  <c r="Z496" i="2"/>
  <c r="Z501" i="2"/>
  <c r="Z398" i="2"/>
  <c r="Y397" i="2"/>
  <c r="Y399" i="2"/>
  <c r="Y404" i="2"/>
  <c r="Y12" i="2"/>
  <c r="Z337" i="2"/>
  <c r="Z303" i="2"/>
  <c r="Y305" i="2"/>
  <c r="Z273" i="2"/>
  <c r="Z244" i="2"/>
  <c r="Y237" i="2"/>
  <c r="Y241" i="2"/>
  <c r="Y244" i="2"/>
  <c r="Z206" i="2"/>
  <c r="Y213" i="2"/>
  <c r="AG213" i="2" s="1"/>
  <c r="AG214" i="2" s="1"/>
  <c r="Z175" i="2"/>
  <c r="Y173" i="2"/>
  <c r="Z144" i="2"/>
  <c r="Z113" i="2"/>
  <c r="Y109" i="2"/>
  <c r="Y80" i="2"/>
  <c r="V45" i="2"/>
  <c r="AA337" i="2"/>
  <c r="AA239" i="2"/>
  <c r="AA404" i="2"/>
  <c r="AA594" i="2"/>
  <c r="AA367" i="2"/>
  <c r="AA688" i="2"/>
  <c r="AA850" i="2"/>
  <c r="AA946" i="2"/>
  <c r="W44" i="2"/>
  <c r="X44" i="2" s="1"/>
  <c r="W269" i="2"/>
  <c r="X269" i="2" s="1"/>
  <c r="W204" i="2"/>
  <c r="X204" i="2" s="1"/>
  <c r="W397" i="2"/>
  <c r="X397" i="2" s="1"/>
  <c r="W556" i="2"/>
  <c r="X556" i="2" s="1"/>
  <c r="W625" i="2"/>
  <c r="W784" i="2"/>
  <c r="X784" i="2" s="1"/>
  <c r="W876" i="2"/>
  <c r="X876" i="2" s="1"/>
  <c r="W945" i="2"/>
  <c r="X945" i="2" s="1"/>
  <c r="AA53" i="2"/>
  <c r="AA50" i="2"/>
  <c r="AA371" i="2"/>
  <c r="AA499" i="2"/>
  <c r="AA627" i="2"/>
  <c r="AA755" i="2"/>
  <c r="AA883" i="2"/>
  <c r="Y979" i="2"/>
  <c r="AA117" i="2"/>
  <c r="AA245" i="2"/>
  <c r="AA373" i="2"/>
  <c r="AA501" i="2"/>
  <c r="AA629" i="2"/>
  <c r="AG629" i="2" s="1"/>
  <c r="AG630" i="2" s="1"/>
  <c r="AA757" i="2"/>
  <c r="AA84" i="2"/>
  <c r="AA212" i="2"/>
  <c r="AA340" i="2"/>
  <c r="AA468" i="2"/>
  <c r="AA596" i="2"/>
  <c r="AA724" i="2"/>
  <c r="AA178" i="2"/>
  <c r="AA306" i="2"/>
  <c r="AA434" i="2"/>
  <c r="AA562" i="2"/>
  <c r="AA690" i="2"/>
  <c r="AA818" i="2"/>
  <c r="W980" i="2"/>
  <c r="X980" i="2" s="1"/>
  <c r="AA401" i="2"/>
  <c r="AA657" i="2"/>
  <c r="AA913" i="2"/>
  <c r="AA112" i="2"/>
  <c r="AA240" i="2"/>
  <c r="AA368" i="2"/>
  <c r="AA752" i="2"/>
  <c r="AA758" i="2" s="1"/>
  <c r="AA880" i="2"/>
  <c r="AA303" i="2"/>
  <c r="AA431" i="2"/>
  <c r="AA559" i="2"/>
  <c r="AA687" i="2"/>
  <c r="AA181" i="2"/>
  <c r="AA309" i="2"/>
  <c r="AA565" i="2"/>
  <c r="AA693" i="2"/>
  <c r="AA148" i="2"/>
  <c r="AA276" i="2"/>
  <c r="AA532" i="2"/>
  <c r="AA660" i="2"/>
  <c r="AA788" i="2"/>
  <c r="AA916" i="2"/>
  <c r="AA114" i="2"/>
  <c r="AA242" i="2"/>
  <c r="AA466" i="2"/>
  <c r="AA722" i="2"/>
  <c r="W946" i="2"/>
  <c r="X946" i="2" s="1"/>
  <c r="AD946" i="2" s="1"/>
  <c r="AA209" i="2"/>
  <c r="AA465" i="2"/>
  <c r="AA593" i="2"/>
  <c r="AC849" i="2"/>
  <c r="AA176" i="2"/>
  <c r="AA495" i="2"/>
  <c r="AA502" i="2" s="1"/>
  <c r="AA623" i="2"/>
  <c r="AA630" i="2" s="1"/>
  <c r="W943" i="2"/>
  <c r="X943" i="2" s="1"/>
  <c r="AA16" i="2"/>
  <c r="AA12" i="2"/>
  <c r="Y13" i="2"/>
  <c r="AA945" i="2"/>
  <c r="AA689" i="2"/>
  <c r="Y53" i="2"/>
  <c r="Z53" i="2"/>
  <c r="V48" i="2"/>
  <c r="AB48" i="2" s="1"/>
  <c r="V49" i="2"/>
  <c r="AB49" i="2" s="1"/>
  <c r="Z12" i="2"/>
  <c r="AA13" i="2"/>
  <c r="Z11" i="2"/>
  <c r="Z10" i="2"/>
  <c r="V8" i="2"/>
  <c r="Z48" i="2"/>
  <c r="Y50" i="2"/>
  <c r="AG533" i="2"/>
  <c r="AG534" i="2" s="1"/>
  <c r="Z49" i="2"/>
  <c r="Y47" i="2"/>
  <c r="Y52" i="2"/>
  <c r="Y46" i="2"/>
  <c r="V14" i="2"/>
  <c r="AB14" i="2" s="1"/>
  <c r="V12" i="2"/>
  <c r="AB12" i="2" s="1"/>
  <c r="V9" i="2"/>
  <c r="V13" i="2"/>
  <c r="AB13" i="2" s="1"/>
  <c r="V17" i="2"/>
  <c r="AB17" i="2" s="1"/>
  <c r="AG341" i="2"/>
  <c r="AG342" i="2" s="1"/>
  <c r="W942" i="2"/>
  <c r="X942" i="2" s="1"/>
  <c r="Y10" i="2"/>
  <c r="AA81" i="2"/>
  <c r="AA111" i="2"/>
  <c r="Y110" i="2"/>
  <c r="Z110" i="2"/>
  <c r="AA144" i="2"/>
  <c r="AA145" i="2"/>
  <c r="AA175" i="2"/>
  <c r="Y174" i="2"/>
  <c r="Z174" i="2"/>
  <c r="U45" i="2"/>
  <c r="Z52" i="2"/>
  <c r="Z47" i="2"/>
  <c r="Z50" i="2"/>
  <c r="Z46" i="2"/>
  <c r="U44" i="2"/>
  <c r="V52" i="2"/>
  <c r="AB52" i="2" s="1"/>
  <c r="Y49" i="2"/>
  <c r="V47" i="2"/>
  <c r="Y45" i="2"/>
  <c r="V53" i="2"/>
  <c r="AB53" i="2" s="1"/>
  <c r="V50" i="2"/>
  <c r="AB50" i="2" s="1"/>
  <c r="Y48" i="2"/>
  <c r="V46" i="2"/>
  <c r="U46" i="2"/>
  <c r="AA49" i="2"/>
  <c r="AA47" i="2"/>
  <c r="W976" i="2"/>
  <c r="X976" i="2" s="1"/>
  <c r="W944" i="2"/>
  <c r="X944" i="2" s="1"/>
  <c r="W912" i="2"/>
  <c r="X912" i="2" s="1"/>
  <c r="W688" i="2"/>
  <c r="X688" i="2" s="1"/>
  <c r="W656" i="2"/>
  <c r="X656" i="2" s="1"/>
  <c r="W624" i="2"/>
  <c r="X624" i="2" s="1"/>
  <c r="W592" i="2"/>
  <c r="X592" i="2" s="1"/>
  <c r="W560" i="2"/>
  <c r="X560" i="2" s="1"/>
  <c r="W528" i="2"/>
  <c r="X528" i="2" s="1"/>
  <c r="W496" i="2"/>
  <c r="X496" i="2" s="1"/>
  <c r="W464" i="2"/>
  <c r="X464" i="2" s="1"/>
  <c r="W432" i="2"/>
  <c r="X432" i="2" s="1"/>
  <c r="W400" i="2"/>
  <c r="X400" i="2" s="1"/>
  <c r="W368" i="2"/>
  <c r="X368" i="2" s="1"/>
  <c r="W336" i="2"/>
  <c r="X336" i="2" s="1"/>
  <c r="W304" i="2"/>
  <c r="X304" i="2" s="1"/>
  <c r="W272" i="2"/>
  <c r="X272" i="2" s="1"/>
  <c r="W240" i="2"/>
  <c r="X240" i="2" s="1"/>
  <c r="W208" i="2"/>
  <c r="X208" i="2" s="1"/>
  <c r="W176" i="2"/>
  <c r="X176" i="2" s="1"/>
  <c r="W144" i="2"/>
  <c r="X144" i="2" s="1"/>
  <c r="W112" i="2"/>
  <c r="X112" i="2" s="1"/>
  <c r="W80" i="2"/>
  <c r="X80" i="2" s="1"/>
  <c r="W48" i="2"/>
  <c r="X48" i="2" s="1"/>
  <c r="W12" i="2"/>
  <c r="X12" i="2" s="1"/>
  <c r="Y112" i="2"/>
  <c r="Z112" i="2"/>
  <c r="Y176" i="2"/>
  <c r="Z176" i="2"/>
  <c r="W977" i="2"/>
  <c r="W529" i="2"/>
  <c r="W497" i="2"/>
  <c r="W465" i="2"/>
  <c r="W433" i="2"/>
  <c r="W401" i="2"/>
  <c r="W369" i="2"/>
  <c r="W49" i="2"/>
  <c r="W337" i="2"/>
  <c r="W305" i="2"/>
  <c r="W273" i="2"/>
  <c r="W241" i="2"/>
  <c r="W209" i="2"/>
  <c r="W177" i="2"/>
  <c r="W145" i="2"/>
  <c r="W113" i="2"/>
  <c r="W81" i="2"/>
  <c r="W13" i="2"/>
  <c r="X13" i="2" s="1"/>
  <c r="Z13" i="2"/>
  <c r="Y81" i="2"/>
  <c r="Z81" i="2"/>
  <c r="Y145" i="2"/>
  <c r="Z145" i="2"/>
  <c r="W981" i="2"/>
  <c r="AE981" i="2" s="1"/>
  <c r="Z85" i="2"/>
  <c r="Y117" i="2"/>
  <c r="Z149" i="2"/>
  <c r="Y181" i="2"/>
  <c r="AA11" i="2"/>
  <c r="AA80" i="2"/>
  <c r="AG405" i="2"/>
  <c r="AG406" i="2" s="1"/>
  <c r="Y9" i="2"/>
  <c r="U38" i="2"/>
  <c r="U28" i="2" s="1"/>
  <c r="Y982" i="2"/>
  <c r="T15" i="2"/>
  <c r="Z15" i="2" s="1"/>
  <c r="T51" i="2"/>
  <c r="V979" i="2"/>
  <c r="AB979" i="2" s="1"/>
  <c r="AB982" i="2" s="1"/>
  <c r="Y947" i="2"/>
  <c r="Z819" i="2"/>
  <c r="Y819" i="2"/>
  <c r="V819" i="2"/>
  <c r="AB819" i="2" s="1"/>
  <c r="AB822" i="2" s="1"/>
  <c r="Z691" i="2"/>
  <c r="Y691" i="2"/>
  <c r="V691" i="2"/>
  <c r="AB691" i="2" s="1"/>
  <c r="AB694" i="2" s="1"/>
  <c r="Z467" i="2"/>
  <c r="Y467" i="2"/>
  <c r="V435" i="2"/>
  <c r="AB435" i="2" s="1"/>
  <c r="AB438" i="2" s="1"/>
  <c r="V371" i="2"/>
  <c r="AB371" i="2" s="1"/>
  <c r="AB374" i="2" s="1"/>
  <c r="Z915" i="2"/>
  <c r="V915" i="2"/>
  <c r="AB915" i="2" s="1"/>
  <c r="AB918" i="2" s="1"/>
  <c r="Z883" i="2"/>
  <c r="Y883" i="2"/>
  <c r="V883" i="2"/>
  <c r="AB883" i="2" s="1"/>
  <c r="AB886" i="2" s="1"/>
  <c r="Z755" i="2"/>
  <c r="Y755" i="2"/>
  <c r="V755" i="2"/>
  <c r="AB755" i="2" s="1"/>
  <c r="AB758" i="2" s="1"/>
  <c r="Z627" i="2"/>
  <c r="Y627" i="2"/>
  <c r="V627" i="2"/>
  <c r="AB627" i="2" s="1"/>
  <c r="AB630" i="2" s="1"/>
  <c r="Z563" i="2"/>
  <c r="Y563" i="2"/>
  <c r="V563" i="2"/>
  <c r="AB563" i="2" s="1"/>
  <c r="AB566" i="2" s="1"/>
  <c r="V499" i="2"/>
  <c r="AB499" i="2" s="1"/>
  <c r="AB502" i="2" s="1"/>
  <c r="V403" i="2"/>
  <c r="AB403" i="2" s="1"/>
  <c r="AB406" i="2" s="1"/>
  <c r="U83" i="2"/>
  <c r="AA83" i="2" s="1"/>
  <c r="U147" i="2"/>
  <c r="AA147" i="2" s="1"/>
  <c r="U211" i="2"/>
  <c r="AA211" i="2" s="1"/>
  <c r="U275" i="2"/>
  <c r="AA275" i="2" s="1"/>
  <c r="U339" i="2"/>
  <c r="AA339" i="2" s="1"/>
  <c r="U403" i="2"/>
  <c r="AA403" i="2" s="1"/>
  <c r="U467" i="2"/>
  <c r="AA467" i="2" s="1"/>
  <c r="U531" i="2"/>
  <c r="AA531" i="2" s="1"/>
  <c r="AA534" i="2" s="1"/>
  <c r="U595" i="2"/>
  <c r="AA595" i="2" s="1"/>
  <c r="U659" i="2"/>
  <c r="AA659" i="2" s="1"/>
  <c r="U723" i="2"/>
  <c r="AA723" i="2" s="1"/>
  <c r="U787" i="2"/>
  <c r="AA787" i="2" s="1"/>
  <c r="U851" i="2"/>
  <c r="AA851" i="2" s="1"/>
  <c r="U915" i="2"/>
  <c r="AA915" i="2" s="1"/>
  <c r="U979" i="2"/>
  <c r="AA979" i="2" s="1"/>
  <c r="AA982" i="2" s="1"/>
  <c r="Y339" i="2"/>
  <c r="Z307" i="2"/>
  <c r="Y307" i="2"/>
  <c r="Z275" i="2"/>
  <c r="AB278" i="2"/>
  <c r="Y275" i="2"/>
  <c r="Z243" i="2"/>
  <c r="AB246" i="2"/>
  <c r="Y243" i="2"/>
  <c r="Z211" i="2"/>
  <c r="AB214" i="2"/>
  <c r="Y211" i="2"/>
  <c r="Z179" i="2"/>
  <c r="AB182" i="2"/>
  <c r="Y179" i="2"/>
  <c r="Z147" i="2"/>
  <c r="AB150" i="2"/>
  <c r="Y147" i="2"/>
  <c r="Z115" i="2"/>
  <c r="AB118" i="2"/>
  <c r="Y115" i="2"/>
  <c r="Z83" i="2"/>
  <c r="Y83" i="2"/>
  <c r="Z979" i="2"/>
  <c r="Z947" i="2"/>
  <c r="V947" i="2"/>
  <c r="AB947" i="2" s="1"/>
  <c r="AB950" i="2" s="1"/>
  <c r="Z851" i="2"/>
  <c r="Y851" i="2"/>
  <c r="Z723" i="2"/>
  <c r="Y723" i="2"/>
  <c r="Z435" i="2"/>
  <c r="Y435" i="2"/>
  <c r="Z371" i="2"/>
  <c r="Y371" i="2"/>
  <c r="Z787" i="2"/>
  <c r="Y787" i="2"/>
  <c r="Z659" i="2"/>
  <c r="Y659" i="2"/>
  <c r="Z595" i="2"/>
  <c r="Y595" i="2"/>
  <c r="Z531" i="2"/>
  <c r="Y531" i="2"/>
  <c r="Z499" i="2"/>
  <c r="Y499" i="2"/>
  <c r="Z403" i="2"/>
  <c r="U115" i="2"/>
  <c r="AA115" i="2" s="1"/>
  <c r="U179" i="2"/>
  <c r="AA179" i="2" s="1"/>
  <c r="U243" i="2"/>
  <c r="AA243" i="2" s="1"/>
  <c r="U307" i="2"/>
  <c r="AA307" i="2" s="1"/>
  <c r="Z339" i="2"/>
  <c r="AG981" i="2"/>
  <c r="AG982" i="2" s="1"/>
  <c r="AB854" i="2"/>
  <c r="AB790" i="2"/>
  <c r="AB662" i="2"/>
  <c r="AB598" i="2"/>
  <c r="AB86" i="2"/>
  <c r="AC980" i="2"/>
  <c r="AB470" i="2"/>
  <c r="AB310" i="2"/>
  <c r="AC981" i="2"/>
  <c r="Z16" i="2"/>
  <c r="Z14" i="2"/>
  <c r="Y14" i="2"/>
  <c r="Y17" i="2"/>
  <c r="U374" i="2"/>
  <c r="U378" i="2" s="1"/>
  <c r="Z382" i="2" s="1"/>
  <c r="U438" i="2"/>
  <c r="U442" i="2" s="1"/>
  <c r="Z446" i="2" s="1"/>
  <c r="U502" i="2"/>
  <c r="U506" i="2" s="1"/>
  <c r="U566" i="2"/>
  <c r="U570" i="2" s="1"/>
  <c r="U630" i="2"/>
  <c r="U634" i="2" s="1"/>
  <c r="U694" i="2"/>
  <c r="U698" i="2" s="1"/>
  <c r="Z702" i="2" s="1"/>
  <c r="U758" i="2"/>
  <c r="U762" i="2" s="1"/>
  <c r="U822" i="2"/>
  <c r="U826" i="2" s="1"/>
  <c r="Z826" i="2" s="1"/>
  <c r="U886" i="2"/>
  <c r="U890" i="2" s="1"/>
  <c r="Z890" i="2" s="1"/>
  <c r="U950" i="2"/>
  <c r="U954" i="2" s="1"/>
  <c r="W11" i="2"/>
  <c r="X11" i="2" s="1"/>
  <c r="W14" i="2"/>
  <c r="W52" i="2"/>
  <c r="W78" i="2"/>
  <c r="X78" i="2" s="1"/>
  <c r="W82" i="2"/>
  <c r="W117" i="2"/>
  <c r="W142" i="2"/>
  <c r="X142" i="2" s="1"/>
  <c r="W146" i="2"/>
  <c r="W181" i="2"/>
  <c r="W206" i="2"/>
  <c r="X206" i="2" s="1"/>
  <c r="W210" i="2"/>
  <c r="W245" i="2"/>
  <c r="W270" i="2"/>
  <c r="X270" i="2" s="1"/>
  <c r="W274" i="2"/>
  <c r="W309" i="2"/>
  <c r="W334" i="2"/>
  <c r="X334" i="2" s="1"/>
  <c r="W338" i="2"/>
  <c r="W17" i="2"/>
  <c r="W46" i="2"/>
  <c r="X46" i="2" s="1"/>
  <c r="W50" i="2"/>
  <c r="W84" i="2"/>
  <c r="W111" i="2"/>
  <c r="X111" i="2" s="1"/>
  <c r="W115" i="2"/>
  <c r="W148" i="2"/>
  <c r="W175" i="2"/>
  <c r="X175" i="2" s="1"/>
  <c r="W179" i="2"/>
  <c r="W212" i="2"/>
  <c r="W239" i="2"/>
  <c r="X239" i="2" s="1"/>
  <c r="W243" i="2"/>
  <c r="W276" i="2"/>
  <c r="W303" i="2"/>
  <c r="X303" i="2" s="1"/>
  <c r="W307" i="2"/>
  <c r="W373" i="2"/>
  <c r="W398" i="2"/>
  <c r="X398" i="2" s="1"/>
  <c r="W402" i="2"/>
  <c r="W437" i="2"/>
  <c r="W462" i="2"/>
  <c r="X462" i="2" s="1"/>
  <c r="W466" i="2"/>
  <c r="W501" i="2"/>
  <c r="W526" i="2"/>
  <c r="X526" i="2" s="1"/>
  <c r="W339" i="2"/>
  <c r="W372" i="2"/>
  <c r="W399" i="2"/>
  <c r="X399" i="2" s="1"/>
  <c r="W403" i="2"/>
  <c r="W436" i="2"/>
  <c r="W463" i="2"/>
  <c r="X463" i="2" s="1"/>
  <c r="W467" i="2"/>
  <c r="W500" i="2"/>
  <c r="W527" i="2"/>
  <c r="X527" i="2" s="1"/>
  <c r="W531" i="2"/>
  <c r="W564" i="2"/>
  <c r="W591" i="2"/>
  <c r="X591" i="2" s="1"/>
  <c r="W595" i="2"/>
  <c r="W628" i="2"/>
  <c r="W655" i="2"/>
  <c r="X655" i="2" s="1"/>
  <c r="W659" i="2"/>
  <c r="W692" i="2"/>
  <c r="W719" i="2"/>
  <c r="X719" i="2" s="1"/>
  <c r="W533" i="2"/>
  <c r="W558" i="2"/>
  <c r="X558" i="2" s="1"/>
  <c r="W562" i="2"/>
  <c r="W597" i="2"/>
  <c r="W622" i="2"/>
  <c r="X622" i="2" s="1"/>
  <c r="W626" i="2"/>
  <c r="W661" i="2"/>
  <c r="W686" i="2"/>
  <c r="X686" i="2" s="1"/>
  <c r="W690" i="2"/>
  <c r="W724" i="2"/>
  <c r="W751" i="2"/>
  <c r="X751" i="2" s="1"/>
  <c r="W755" i="2"/>
  <c r="W788" i="2"/>
  <c r="W815" i="2"/>
  <c r="X815" i="2" s="1"/>
  <c r="W722" i="2"/>
  <c r="W757" i="2"/>
  <c r="W782" i="2"/>
  <c r="X782" i="2" s="1"/>
  <c r="W786" i="2"/>
  <c r="W820" i="2"/>
  <c r="W847" i="2"/>
  <c r="X847" i="2" s="1"/>
  <c r="W851" i="2"/>
  <c r="W884" i="2"/>
  <c r="W821" i="2"/>
  <c r="W846" i="2"/>
  <c r="X846" i="2" s="1"/>
  <c r="W850" i="2"/>
  <c r="W885" i="2"/>
  <c r="W910" i="2"/>
  <c r="X910" i="2" s="1"/>
  <c r="W914" i="2"/>
  <c r="W911" i="2"/>
  <c r="X911" i="2" s="1"/>
  <c r="W915" i="2"/>
  <c r="W949" i="2"/>
  <c r="W974" i="2"/>
  <c r="X974" i="2" s="1"/>
  <c r="W978" i="2"/>
  <c r="W948" i="2"/>
  <c r="W975" i="2"/>
  <c r="X975" i="2" s="1"/>
  <c r="W979" i="2"/>
  <c r="AB726" i="2"/>
  <c r="AB534" i="2"/>
  <c r="AB342" i="2"/>
  <c r="Z17" i="2"/>
  <c r="Y16" i="2"/>
  <c r="W10" i="2"/>
  <c r="X10" i="2" s="1"/>
  <c r="W15" i="2"/>
  <c r="W47" i="2"/>
  <c r="X47" i="2" s="1"/>
  <c r="W51" i="2"/>
  <c r="W85" i="2"/>
  <c r="W110" i="2"/>
  <c r="X110" i="2" s="1"/>
  <c r="W114" i="2"/>
  <c r="W149" i="2"/>
  <c r="W174" i="2"/>
  <c r="X174" i="2" s="1"/>
  <c r="W178" i="2"/>
  <c r="W213" i="2"/>
  <c r="W238" i="2"/>
  <c r="X238" i="2" s="1"/>
  <c r="W242" i="2"/>
  <c r="W277" i="2"/>
  <c r="W302" i="2"/>
  <c r="X302" i="2" s="1"/>
  <c r="W306" i="2"/>
  <c r="W16" i="2"/>
  <c r="W53" i="2"/>
  <c r="W79" i="2"/>
  <c r="X79" i="2" s="1"/>
  <c r="W83" i="2"/>
  <c r="W116" i="2"/>
  <c r="W143" i="2"/>
  <c r="X143" i="2" s="1"/>
  <c r="W147" i="2"/>
  <c r="W180" i="2"/>
  <c r="W207" i="2"/>
  <c r="X207" i="2" s="1"/>
  <c r="W211" i="2"/>
  <c r="W244" i="2"/>
  <c r="W271" i="2"/>
  <c r="X271" i="2" s="1"/>
  <c r="W275" i="2"/>
  <c r="W308" i="2"/>
  <c r="W335" i="2"/>
  <c r="X335" i="2" s="1"/>
  <c r="W341" i="2"/>
  <c r="W366" i="2"/>
  <c r="X366" i="2" s="1"/>
  <c r="W370" i="2"/>
  <c r="W405" i="2"/>
  <c r="W430" i="2"/>
  <c r="X430" i="2" s="1"/>
  <c r="W434" i="2"/>
  <c r="W469" i="2"/>
  <c r="W494" i="2"/>
  <c r="X494" i="2" s="1"/>
  <c r="W498" i="2"/>
  <c r="W340" i="2"/>
  <c r="W367" i="2"/>
  <c r="X367" i="2" s="1"/>
  <c r="W371" i="2"/>
  <c r="W404" i="2"/>
  <c r="W431" i="2"/>
  <c r="X431" i="2" s="1"/>
  <c r="W435" i="2"/>
  <c r="W468" i="2"/>
  <c r="W495" i="2"/>
  <c r="X495" i="2" s="1"/>
  <c r="W499" i="2"/>
  <c r="W532" i="2"/>
  <c r="W559" i="2"/>
  <c r="X559" i="2" s="1"/>
  <c r="W563" i="2"/>
  <c r="W596" i="2"/>
  <c r="W623" i="2"/>
  <c r="X623" i="2" s="1"/>
  <c r="W627" i="2"/>
  <c r="W660" i="2"/>
  <c r="W687" i="2"/>
  <c r="X687" i="2" s="1"/>
  <c r="W691" i="2"/>
  <c r="W530" i="2"/>
  <c r="W565" i="2"/>
  <c r="W590" i="2"/>
  <c r="X590" i="2" s="1"/>
  <c r="W594" i="2"/>
  <c r="W629" i="2"/>
  <c r="W654" i="2"/>
  <c r="X654" i="2" s="1"/>
  <c r="W658" i="2"/>
  <c r="W693" i="2"/>
  <c r="W718" i="2"/>
  <c r="X718" i="2" s="1"/>
  <c r="W723" i="2"/>
  <c r="W756" i="2"/>
  <c r="W783" i="2"/>
  <c r="X783" i="2" s="1"/>
  <c r="W787" i="2"/>
  <c r="W725" i="2"/>
  <c r="W750" i="2"/>
  <c r="X750" i="2" s="1"/>
  <c r="W754" i="2"/>
  <c r="W789" i="2"/>
  <c r="W814" i="2"/>
  <c r="X814" i="2" s="1"/>
  <c r="W819" i="2"/>
  <c r="W852" i="2"/>
  <c r="W879" i="2"/>
  <c r="X879" i="2" s="1"/>
  <c r="W883" i="2"/>
  <c r="W818" i="2"/>
  <c r="W853" i="2"/>
  <c r="W878" i="2"/>
  <c r="X878" i="2" s="1"/>
  <c r="W882" i="2"/>
  <c r="W917" i="2"/>
  <c r="W916" i="2"/>
  <c r="AA41" i="1"/>
  <c r="AG41" i="1" s="1"/>
  <c r="AM41" i="1" s="1"/>
  <c r="Y41" i="1"/>
  <c r="AE41" i="1" s="1"/>
  <c r="AK41" i="1" s="1"/>
  <c r="W41" i="1"/>
  <c r="AC41" i="1" s="1"/>
  <c r="AI41" i="1" s="1"/>
  <c r="Z41" i="1"/>
  <c r="AF41" i="1" s="1"/>
  <c r="AL41" i="1" s="1"/>
  <c r="X41" i="1"/>
  <c r="AD41" i="1" s="1"/>
  <c r="AJ41" i="1" s="1"/>
  <c r="V41" i="1"/>
  <c r="AB41" i="1" s="1"/>
  <c r="AH41" i="1" s="1"/>
  <c r="X19" i="1"/>
  <c r="AD19" i="1" s="1"/>
  <c r="AJ19" i="1" s="1"/>
  <c r="Z28" i="1"/>
  <c r="AF28" i="1" s="1"/>
  <c r="AL28" i="1" s="1"/>
  <c r="V25" i="1"/>
  <c r="AB25" i="1" s="1"/>
  <c r="AH25" i="1" s="1"/>
  <c r="V12" i="1"/>
  <c r="AB12" i="1" s="1"/>
  <c r="AH12" i="1" s="1"/>
  <c r="Z39" i="1"/>
  <c r="AF39" i="1" s="1"/>
  <c r="AL39" i="1" s="1"/>
  <c r="V27" i="1"/>
  <c r="AB27" i="1" s="1"/>
  <c r="AH27" i="1" s="1"/>
  <c r="X23" i="1"/>
  <c r="AD23" i="1" s="1"/>
  <c r="AJ23" i="1" s="1"/>
  <c r="X21" i="1"/>
  <c r="AD21" i="1" s="1"/>
  <c r="AJ21" i="1" s="1"/>
  <c r="Z13" i="1"/>
  <c r="AF13" i="1" s="1"/>
  <c r="AL13" i="1" s="1"/>
  <c r="V13" i="1"/>
  <c r="AB13" i="1" s="1"/>
  <c r="AH13" i="1" s="1"/>
  <c r="X17" i="1"/>
  <c r="AD17" i="1" s="1"/>
  <c r="AJ17" i="1" s="1"/>
  <c r="V16" i="1"/>
  <c r="AB16" i="1" s="1"/>
  <c r="AH16" i="1" s="1"/>
  <c r="T12" i="1"/>
  <c r="T31" i="1"/>
  <c r="T32" i="1"/>
  <c r="T20" i="1"/>
  <c r="T19" i="1"/>
  <c r="T17" i="1"/>
  <c r="X15" i="1"/>
  <c r="AD15" i="1" s="1"/>
  <c r="AJ15" i="1" s="1"/>
  <c r="Z27" i="1"/>
  <c r="AF27" i="1" s="1"/>
  <c r="AL27" i="1" s="1"/>
  <c r="Z25" i="1"/>
  <c r="AF25" i="1" s="1"/>
  <c r="AL25" i="1" s="1"/>
  <c r="V20" i="1"/>
  <c r="AB20" i="1" s="1"/>
  <c r="AH20" i="1" s="1"/>
  <c r="Z19" i="1"/>
  <c r="AF19" i="1" s="1"/>
  <c r="AL19" i="1" s="1"/>
  <c r="V19" i="1"/>
  <c r="AB19" i="1" s="1"/>
  <c r="AH19" i="1" s="1"/>
  <c r="Z17" i="1"/>
  <c r="AF17" i="1" s="1"/>
  <c r="AL17" i="1" s="1"/>
  <c r="V17" i="1"/>
  <c r="AB17" i="1" s="1"/>
  <c r="AH17" i="1" s="1"/>
  <c r="X13" i="1"/>
  <c r="AD13" i="1" s="1"/>
  <c r="AJ13" i="1" s="1"/>
  <c r="T13" i="1"/>
  <c r="T35" i="1"/>
  <c r="T29" i="1"/>
  <c r="T23" i="1"/>
  <c r="T22" i="1"/>
  <c r="T21" i="1"/>
  <c r="T18" i="1"/>
  <c r="T15" i="1"/>
  <c r="Z15" i="1"/>
  <c r="AF15" i="1" s="1"/>
  <c r="AL15" i="1" s="1"/>
  <c r="V15" i="1"/>
  <c r="AB15" i="1" s="1"/>
  <c r="AH15" i="1" s="1"/>
  <c r="X38" i="1"/>
  <c r="AD38" i="1" s="1"/>
  <c r="AJ38" i="1" s="1"/>
  <c r="X33" i="1"/>
  <c r="AD33" i="1" s="1"/>
  <c r="AJ33" i="1" s="1"/>
  <c r="X31" i="1"/>
  <c r="AD31" i="1" s="1"/>
  <c r="AJ31" i="1" s="1"/>
  <c r="X29" i="1"/>
  <c r="AD29" i="1" s="1"/>
  <c r="AJ29" i="1" s="1"/>
  <c r="X27" i="1"/>
  <c r="AD27" i="1" s="1"/>
  <c r="AJ27" i="1" s="1"/>
  <c r="X25" i="1"/>
  <c r="AD25" i="1" s="1"/>
  <c r="AJ25" i="1" s="1"/>
  <c r="V24" i="1"/>
  <c r="AB24" i="1" s="1"/>
  <c r="AH24" i="1" s="1"/>
  <c r="Z23" i="1"/>
  <c r="AF23" i="1" s="1"/>
  <c r="AL23" i="1" s="1"/>
  <c r="V23" i="1"/>
  <c r="AB23" i="1" s="1"/>
  <c r="AH23" i="1" s="1"/>
  <c r="Z21" i="1"/>
  <c r="AF21" i="1" s="1"/>
  <c r="AL21" i="1" s="1"/>
  <c r="V21" i="1"/>
  <c r="AB21" i="1" s="1"/>
  <c r="AH21" i="1" s="1"/>
  <c r="T14" i="1"/>
  <c r="T28" i="1"/>
  <c r="T27" i="1"/>
  <c r="T26" i="1"/>
  <c r="T25" i="1"/>
  <c r="W24" i="1"/>
  <c r="AC24" i="1" s="1"/>
  <c r="AI24" i="1" s="1"/>
  <c r="Z33" i="1"/>
  <c r="AF33" i="1" s="1"/>
  <c r="AL33" i="1" s="1"/>
  <c r="V35" i="1"/>
  <c r="AB35" i="1" s="1"/>
  <c r="AH35" i="1" s="1"/>
  <c r="X32" i="1"/>
  <c r="AD32" i="1" s="1"/>
  <c r="AJ32" i="1" s="1"/>
  <c r="Y22" i="1"/>
  <c r="AE22" i="1" s="1"/>
  <c r="AK22" i="1" s="1"/>
  <c r="AA38" i="1"/>
  <c r="AG38" i="1" s="1"/>
  <c r="AM38" i="1" s="1"/>
  <c r="W38" i="1"/>
  <c r="AC38" i="1" s="1"/>
  <c r="AI38" i="1" s="1"/>
  <c r="V37" i="1"/>
  <c r="AB37" i="1" s="1"/>
  <c r="AH37" i="1" s="1"/>
  <c r="Y36" i="1"/>
  <c r="AE36" i="1" s="1"/>
  <c r="AK36" i="1" s="1"/>
  <c r="Z35" i="1"/>
  <c r="AF35" i="1" s="1"/>
  <c r="AL35" i="1" s="1"/>
  <c r="AA34" i="1"/>
  <c r="AG34" i="1" s="1"/>
  <c r="AM34" i="1" s="1"/>
  <c r="W34" i="1"/>
  <c r="AC34" i="1" s="1"/>
  <c r="AI34" i="1" s="1"/>
  <c r="AA32" i="1"/>
  <c r="AG32" i="1" s="1"/>
  <c r="AM32" i="1" s="1"/>
  <c r="W32" i="1"/>
  <c r="AC32" i="1" s="1"/>
  <c r="AI32" i="1" s="1"/>
  <c r="Z31" i="1"/>
  <c r="AF31" i="1" s="1"/>
  <c r="AL31" i="1" s="1"/>
  <c r="AA28" i="1"/>
  <c r="AG28" i="1" s="1"/>
  <c r="AM28" i="1" s="1"/>
  <c r="W28" i="1"/>
  <c r="AC28" i="1" s="1"/>
  <c r="AI28" i="1" s="1"/>
  <c r="Y26" i="1"/>
  <c r="AE26" i="1" s="1"/>
  <c r="AK26" i="1" s="1"/>
  <c r="W25" i="1"/>
  <c r="AC25" i="1" s="1"/>
  <c r="AI25" i="1" s="1"/>
  <c r="AA22" i="1"/>
  <c r="AG22" i="1" s="1"/>
  <c r="AM22" i="1" s="1"/>
  <c r="W21" i="1"/>
  <c r="AC21" i="1" s="1"/>
  <c r="AI21" i="1" s="1"/>
  <c r="Y20" i="1"/>
  <c r="AE20" i="1" s="1"/>
  <c r="AK20" i="1" s="1"/>
  <c r="AA19" i="1"/>
  <c r="AG19" i="1" s="1"/>
  <c r="AM19" i="1" s="1"/>
  <c r="Y18" i="1"/>
  <c r="AE18" i="1" s="1"/>
  <c r="AK18" i="1" s="1"/>
  <c r="Y17" i="1"/>
  <c r="AE17" i="1" s="1"/>
  <c r="AK17" i="1" s="1"/>
  <c r="Y16" i="1"/>
  <c r="AE16" i="1" s="1"/>
  <c r="AK16" i="1" s="1"/>
  <c r="Y15" i="1"/>
  <c r="AE15" i="1" s="1"/>
  <c r="AK15" i="1" s="1"/>
  <c r="Y14" i="1"/>
  <c r="AE14" i="1" s="1"/>
  <c r="AK14" i="1" s="1"/>
  <c r="AA12" i="1"/>
  <c r="AG12" i="1" s="1"/>
  <c r="AM12" i="1" s="1"/>
  <c r="Y13" i="1"/>
  <c r="AE13" i="1" s="1"/>
  <c r="AK13" i="1" s="1"/>
  <c r="V14" i="1"/>
  <c r="AB14" i="1" s="1"/>
  <c r="AH14" i="1" s="1"/>
  <c r="Z14" i="1"/>
  <c r="AF14" i="1" s="1"/>
  <c r="AL14" i="1" s="1"/>
  <c r="W15" i="1"/>
  <c r="AC15" i="1" s="1"/>
  <c r="AI15" i="1" s="1"/>
  <c r="X16" i="1"/>
  <c r="AD16" i="1" s="1"/>
  <c r="AJ16" i="1" s="1"/>
  <c r="W17" i="1"/>
  <c r="AC17" i="1" s="1"/>
  <c r="AI17" i="1" s="1"/>
  <c r="V18" i="1"/>
  <c r="AB18" i="1" s="1"/>
  <c r="AH18" i="1" s="1"/>
  <c r="Z18" i="1"/>
  <c r="AF18" i="1" s="1"/>
  <c r="AL18" i="1" s="1"/>
  <c r="W19" i="1"/>
  <c r="AC19" i="1" s="1"/>
  <c r="AI19" i="1" s="1"/>
  <c r="X20" i="1"/>
  <c r="AD20" i="1" s="1"/>
  <c r="AJ20" i="1" s="1"/>
  <c r="AA21" i="1"/>
  <c r="AG21" i="1" s="1"/>
  <c r="AM21" i="1" s="1"/>
  <c r="X22" i="1"/>
  <c r="AD22" i="1" s="1"/>
  <c r="AJ22" i="1" s="1"/>
  <c r="Y23" i="1"/>
  <c r="AE23" i="1" s="1"/>
  <c r="AK23" i="1" s="1"/>
  <c r="X24" i="1"/>
  <c r="AD24" i="1" s="1"/>
  <c r="AJ24" i="1" s="1"/>
  <c r="Y25" i="1"/>
  <c r="AE25" i="1" s="1"/>
  <c r="AK25" i="1" s="1"/>
  <c r="V26" i="1"/>
  <c r="AB26" i="1" s="1"/>
  <c r="AH26" i="1" s="1"/>
  <c r="Z26" i="1"/>
  <c r="AF26" i="1" s="1"/>
  <c r="AL26" i="1" s="1"/>
  <c r="W27" i="1"/>
  <c r="AC27" i="1" s="1"/>
  <c r="AI27" i="1" s="1"/>
  <c r="AA27" i="1"/>
  <c r="AG27" i="1" s="1"/>
  <c r="AM27" i="1" s="1"/>
  <c r="X28" i="1"/>
  <c r="AD28" i="1" s="1"/>
  <c r="AJ28" i="1" s="1"/>
  <c r="Y29" i="1"/>
  <c r="AE29" i="1" s="1"/>
  <c r="AK29" i="1" s="1"/>
  <c r="AA31" i="1"/>
  <c r="AG31" i="1" s="1"/>
  <c r="AM31" i="1" s="1"/>
  <c r="Y33" i="1"/>
  <c r="AE33" i="1" s="1"/>
  <c r="AK33" i="1" s="1"/>
  <c r="V34" i="1"/>
  <c r="AB34" i="1" s="1"/>
  <c r="AH34" i="1" s="1"/>
  <c r="Z34" i="1"/>
  <c r="AF34" i="1" s="1"/>
  <c r="AL34" i="1" s="1"/>
  <c r="Y35" i="1"/>
  <c r="AE35" i="1" s="1"/>
  <c r="AK35" i="1" s="1"/>
  <c r="V36" i="1"/>
  <c r="AB36" i="1" s="1"/>
  <c r="AH36" i="1" s="1"/>
  <c r="Z36" i="1"/>
  <c r="AF36" i="1" s="1"/>
  <c r="AL36" i="1" s="1"/>
  <c r="Y37" i="1"/>
  <c r="AE37" i="1" s="1"/>
  <c r="AK37" i="1" s="1"/>
  <c r="V38" i="1"/>
  <c r="AB38" i="1" s="1"/>
  <c r="AH38" i="1" s="1"/>
  <c r="W39" i="1"/>
  <c r="AC39" i="1" s="1"/>
  <c r="AI39" i="1" s="1"/>
  <c r="AA39" i="1"/>
  <c r="AG39" i="1" s="1"/>
  <c r="AM39" i="1" s="1"/>
  <c r="V31" i="1"/>
  <c r="AB31" i="1" s="1"/>
  <c r="AH31" i="1" s="1"/>
  <c r="V39" i="1"/>
  <c r="AB39" i="1" s="1"/>
  <c r="AH39" i="1" s="1"/>
  <c r="X12" i="1"/>
  <c r="AD12" i="1" s="1"/>
  <c r="AJ12" i="1" s="1"/>
  <c r="X37" i="1"/>
  <c r="AD37" i="1" s="1"/>
  <c r="AJ37" i="1" s="1"/>
  <c r="Y12" i="1"/>
  <c r="AE12" i="1" s="1"/>
  <c r="AK12" i="1" s="1"/>
  <c r="Z29" i="1"/>
  <c r="AF29" i="1" s="1"/>
  <c r="AL29" i="1" s="1"/>
  <c r="AA24" i="1"/>
  <c r="AG24" i="1" s="1"/>
  <c r="AM24" i="1" s="1"/>
  <c r="X39" i="1"/>
  <c r="AD39" i="1" s="1"/>
  <c r="AJ39" i="1" s="1"/>
  <c r="Y38" i="1"/>
  <c r="AE38" i="1" s="1"/>
  <c r="AK38" i="1" s="1"/>
  <c r="Z37" i="1"/>
  <c r="AF37" i="1" s="1"/>
  <c r="AL37" i="1" s="1"/>
  <c r="AA36" i="1"/>
  <c r="AG36" i="1" s="1"/>
  <c r="AM36" i="1" s="1"/>
  <c r="W36" i="1"/>
  <c r="AC36" i="1" s="1"/>
  <c r="AI36" i="1" s="1"/>
  <c r="X35" i="1"/>
  <c r="AD35" i="1" s="1"/>
  <c r="AJ35" i="1" s="1"/>
  <c r="Y34" i="1"/>
  <c r="AE34" i="1" s="1"/>
  <c r="AK34" i="1" s="1"/>
  <c r="V33" i="1"/>
  <c r="AB33" i="1" s="1"/>
  <c r="AH33" i="1" s="1"/>
  <c r="Y32" i="1"/>
  <c r="AE32" i="1" s="1"/>
  <c r="AK32" i="1" s="1"/>
  <c r="V32" i="1"/>
  <c r="AB32" i="1" s="1"/>
  <c r="AH32" i="1" s="1"/>
  <c r="W31" i="1"/>
  <c r="AC31" i="1" s="1"/>
  <c r="AI31" i="1" s="1"/>
  <c r="V29" i="1"/>
  <c r="AB29" i="1" s="1"/>
  <c r="AH29" i="1" s="1"/>
  <c r="Y28" i="1"/>
  <c r="AE28" i="1" s="1"/>
  <c r="AK28" i="1" s="1"/>
  <c r="AA26" i="1"/>
  <c r="AG26" i="1" s="1"/>
  <c r="AM26" i="1" s="1"/>
  <c r="W26" i="1"/>
  <c r="AC26" i="1" s="1"/>
  <c r="AI26" i="1" s="1"/>
  <c r="Y24" i="1"/>
  <c r="AE24" i="1" s="1"/>
  <c r="AK24" i="1" s="1"/>
  <c r="W22" i="1"/>
  <c r="AC22" i="1" s="1"/>
  <c r="AI22" i="1" s="1"/>
  <c r="AA20" i="1"/>
  <c r="AG20" i="1" s="1"/>
  <c r="AM20" i="1" s="1"/>
  <c r="W20" i="1"/>
  <c r="AC20" i="1" s="1"/>
  <c r="AI20" i="1" s="1"/>
  <c r="AA18" i="1"/>
  <c r="AG18" i="1" s="1"/>
  <c r="AM18" i="1" s="1"/>
  <c r="W18" i="1"/>
  <c r="AC18" i="1" s="1"/>
  <c r="AI18" i="1" s="1"/>
  <c r="AA16" i="1"/>
  <c r="AG16" i="1" s="1"/>
  <c r="AM16" i="1" s="1"/>
  <c r="W16" i="1"/>
  <c r="AC16" i="1" s="1"/>
  <c r="AI16" i="1" s="1"/>
  <c r="AA14" i="1"/>
  <c r="AG14" i="1" s="1"/>
  <c r="AM14" i="1" s="1"/>
  <c r="W14" i="1"/>
  <c r="AC14" i="1" s="1"/>
  <c r="AI14" i="1" s="1"/>
  <c r="W12" i="1"/>
  <c r="AC12" i="1" s="1"/>
  <c r="AI12" i="1" s="1"/>
  <c r="Z12" i="1"/>
  <c r="AF12" i="1" s="1"/>
  <c r="AL12" i="1" s="1"/>
  <c r="W13" i="1"/>
  <c r="AC13" i="1" s="1"/>
  <c r="AI13" i="1" s="1"/>
  <c r="AA13" i="1"/>
  <c r="AG13" i="1" s="1"/>
  <c r="AM13" i="1" s="1"/>
  <c r="X14" i="1"/>
  <c r="AD14" i="1" s="1"/>
  <c r="AJ14" i="1" s="1"/>
  <c r="AA15" i="1"/>
  <c r="AG15" i="1" s="1"/>
  <c r="AM15" i="1" s="1"/>
  <c r="Z16" i="1"/>
  <c r="AF16" i="1" s="1"/>
  <c r="AL16" i="1" s="1"/>
  <c r="AA17" i="1"/>
  <c r="AG17" i="1" s="1"/>
  <c r="AM17" i="1" s="1"/>
  <c r="X18" i="1"/>
  <c r="AD18" i="1" s="1"/>
  <c r="AJ18" i="1" s="1"/>
  <c r="Y19" i="1"/>
  <c r="AE19" i="1" s="1"/>
  <c r="AK19" i="1" s="1"/>
  <c r="Z20" i="1"/>
  <c r="AF20" i="1" s="1"/>
  <c r="AL20" i="1" s="1"/>
  <c r="Y21" i="1"/>
  <c r="AE21" i="1" s="1"/>
  <c r="AK21" i="1" s="1"/>
  <c r="V22" i="1"/>
  <c r="AB22" i="1" s="1"/>
  <c r="AH22" i="1" s="1"/>
  <c r="Z22" i="1"/>
  <c r="AF22" i="1" s="1"/>
  <c r="AL22" i="1" s="1"/>
  <c r="W23" i="1"/>
  <c r="AC23" i="1" s="1"/>
  <c r="AI23" i="1" s="1"/>
  <c r="AA23" i="1"/>
  <c r="AG23" i="1" s="1"/>
  <c r="AM23" i="1" s="1"/>
  <c r="Z24" i="1"/>
  <c r="AF24" i="1" s="1"/>
  <c r="AL24" i="1" s="1"/>
  <c r="AA25" i="1"/>
  <c r="AG25" i="1" s="1"/>
  <c r="AM25" i="1" s="1"/>
  <c r="X26" i="1"/>
  <c r="AD26" i="1" s="1"/>
  <c r="AJ26" i="1" s="1"/>
  <c r="Y27" i="1"/>
  <c r="AE27" i="1" s="1"/>
  <c r="AK27" i="1" s="1"/>
  <c r="V28" i="1"/>
  <c r="AB28" i="1" s="1"/>
  <c r="AH28" i="1" s="1"/>
  <c r="W29" i="1"/>
  <c r="AC29" i="1" s="1"/>
  <c r="AI29" i="1" s="1"/>
  <c r="AA29" i="1"/>
  <c r="AG29" i="1" s="1"/>
  <c r="AM29" i="1" s="1"/>
  <c r="Y31" i="1"/>
  <c r="AE31" i="1" s="1"/>
  <c r="AK31" i="1" s="1"/>
  <c r="Z32" i="1"/>
  <c r="AF32" i="1" s="1"/>
  <c r="AL32" i="1" s="1"/>
  <c r="W33" i="1"/>
  <c r="AC33" i="1" s="1"/>
  <c r="AI33" i="1" s="1"/>
  <c r="AA33" i="1"/>
  <c r="AG33" i="1" s="1"/>
  <c r="AM33" i="1" s="1"/>
  <c r="X34" i="1"/>
  <c r="AD34" i="1" s="1"/>
  <c r="AJ34" i="1" s="1"/>
  <c r="W35" i="1"/>
  <c r="AC35" i="1" s="1"/>
  <c r="AI35" i="1" s="1"/>
  <c r="AA35" i="1"/>
  <c r="AG35" i="1" s="1"/>
  <c r="AM35" i="1" s="1"/>
  <c r="X36" i="1"/>
  <c r="AD36" i="1" s="1"/>
  <c r="AJ36" i="1" s="1"/>
  <c r="W37" i="1"/>
  <c r="AC37" i="1" s="1"/>
  <c r="AI37" i="1" s="1"/>
  <c r="AA37" i="1"/>
  <c r="AG37" i="1" s="1"/>
  <c r="AM37" i="1" s="1"/>
  <c r="Z38" i="1"/>
  <c r="AF38" i="1" s="1"/>
  <c r="AL38" i="1" s="1"/>
  <c r="Y39" i="1"/>
  <c r="AE39" i="1" s="1"/>
  <c r="AK39" i="1" s="1"/>
  <c r="Q42" i="1"/>
  <c r="Q43" i="1"/>
  <c r="Q44" i="1"/>
  <c r="Q45" i="1"/>
  <c r="T36" i="1"/>
  <c r="T38" i="1"/>
  <c r="T34" i="1"/>
  <c r="T33" i="1"/>
  <c r="T24" i="1"/>
  <c r="T16" i="1"/>
  <c r="P47" i="1"/>
  <c r="T39" i="1"/>
  <c r="T37" i="1"/>
  <c r="N38" i="1"/>
  <c r="O38" i="1" s="1"/>
  <c r="N13" i="1"/>
  <c r="O13" i="1" s="1"/>
  <c r="N15" i="1"/>
  <c r="O15" i="1" s="1"/>
  <c r="N17" i="1"/>
  <c r="O17" i="1" s="1"/>
  <c r="N19" i="1"/>
  <c r="O19" i="1" s="1"/>
  <c r="N21" i="1"/>
  <c r="O21" i="1" s="1"/>
  <c r="N23" i="1"/>
  <c r="O23" i="1" s="1"/>
  <c r="N25" i="1"/>
  <c r="O25" i="1" s="1"/>
  <c r="N27" i="1"/>
  <c r="O27" i="1" s="1"/>
  <c r="N29" i="1"/>
  <c r="O29" i="1" s="1"/>
  <c r="N31" i="1"/>
  <c r="O31" i="1" s="1"/>
  <c r="N33" i="1"/>
  <c r="O33" i="1" s="1"/>
  <c r="N35" i="1"/>
  <c r="O35" i="1" s="1"/>
  <c r="N37" i="1"/>
  <c r="O37" i="1" s="1"/>
  <c r="N39" i="1"/>
  <c r="O39" i="1" s="1"/>
  <c r="N12" i="1"/>
  <c r="O12" i="1" s="1"/>
  <c r="N14" i="1"/>
  <c r="O14" i="1" s="1"/>
  <c r="N16" i="1"/>
  <c r="O16" i="1" s="1"/>
  <c r="N18" i="1"/>
  <c r="O18" i="1" s="1"/>
  <c r="N20" i="1"/>
  <c r="O20" i="1" s="1"/>
  <c r="N22" i="1"/>
  <c r="O22" i="1" s="1"/>
  <c r="N24" i="1"/>
  <c r="O24" i="1" s="1"/>
  <c r="N26" i="1"/>
  <c r="O26" i="1" s="1"/>
  <c r="N28" i="1"/>
  <c r="O28" i="1" s="1"/>
  <c r="N32" i="1"/>
  <c r="O32" i="1" s="1"/>
  <c r="N34" i="1"/>
  <c r="O34" i="1" s="1"/>
  <c r="N36" i="1"/>
  <c r="O36" i="1" s="1"/>
  <c r="B46" i="1"/>
  <c r="B45" i="1"/>
  <c r="B44" i="1"/>
  <c r="B43" i="1"/>
  <c r="B42" i="1"/>
  <c r="D46" i="1"/>
  <c r="D45" i="1"/>
  <c r="D44" i="1"/>
  <c r="D43" i="1"/>
  <c r="D42" i="1"/>
  <c r="F46" i="1"/>
  <c r="F45" i="1"/>
  <c r="F44" i="1"/>
  <c r="F43" i="1"/>
  <c r="F42" i="1"/>
  <c r="H46" i="1"/>
  <c r="H45" i="1"/>
  <c r="H44" i="1"/>
  <c r="H43" i="1"/>
  <c r="H42" i="1"/>
  <c r="J46" i="1"/>
  <c r="J45" i="1"/>
  <c r="J44" i="1"/>
  <c r="J43" i="1"/>
  <c r="J42" i="1"/>
  <c r="L46" i="1"/>
  <c r="L45" i="1"/>
  <c r="L44" i="1"/>
  <c r="L43" i="1"/>
  <c r="L42" i="1"/>
  <c r="N11" i="1"/>
  <c r="O11" i="1" s="1"/>
  <c r="T11" i="1"/>
  <c r="V11" i="1"/>
  <c r="AB11" i="1" s="1"/>
  <c r="AH11" i="1" s="1"/>
  <c r="X11" i="1"/>
  <c r="AD11" i="1" s="1"/>
  <c r="AJ11" i="1" s="1"/>
  <c r="Z11" i="1"/>
  <c r="AF11" i="1" s="1"/>
  <c r="AL11" i="1" s="1"/>
  <c r="C46" i="1"/>
  <c r="C45" i="1"/>
  <c r="C44" i="1"/>
  <c r="C43" i="1"/>
  <c r="C42" i="1"/>
  <c r="E46" i="1"/>
  <c r="E45" i="1"/>
  <c r="E44" i="1"/>
  <c r="E43" i="1"/>
  <c r="E42" i="1"/>
  <c r="G46" i="1"/>
  <c r="G45" i="1"/>
  <c r="G44" i="1"/>
  <c r="G43" i="1"/>
  <c r="G42" i="1"/>
  <c r="I46" i="1"/>
  <c r="I45" i="1"/>
  <c r="I44" i="1"/>
  <c r="I43" i="1"/>
  <c r="I42" i="1"/>
  <c r="K46" i="1"/>
  <c r="K45" i="1"/>
  <c r="K44" i="1"/>
  <c r="K43" i="1"/>
  <c r="K42" i="1"/>
  <c r="M46" i="1"/>
  <c r="M45" i="1"/>
  <c r="M44" i="1"/>
  <c r="M43" i="1"/>
  <c r="M42" i="1"/>
  <c r="W11" i="1"/>
  <c r="AC11" i="1" s="1"/>
  <c r="AI11" i="1" s="1"/>
  <c r="Y11" i="1"/>
  <c r="AE11" i="1" s="1"/>
  <c r="AK11" i="1" s="1"/>
  <c r="AA11" i="1"/>
  <c r="AG11" i="1" s="1"/>
  <c r="AM11" i="1" s="1"/>
  <c r="AG693" i="2" l="1"/>
  <c r="AG694" i="2" s="1"/>
  <c r="AA886" i="2"/>
  <c r="AG373" i="2"/>
  <c r="AG374" i="2" s="1"/>
  <c r="U30" i="1"/>
  <c r="AG565" i="2"/>
  <c r="AG566" i="2" s="1"/>
  <c r="AE436" i="2"/>
  <c r="X981" i="2"/>
  <c r="AD981" i="2" s="1"/>
  <c r="Z982" i="2"/>
  <c r="AC945" i="2"/>
  <c r="AC689" i="2"/>
  <c r="AA950" i="2"/>
  <c r="AG309" i="2"/>
  <c r="AG310" i="2" s="1"/>
  <c r="AA822" i="2"/>
  <c r="Y438" i="2"/>
  <c r="Y854" i="2"/>
  <c r="AA470" i="2"/>
  <c r="AG181" i="2"/>
  <c r="AG182" i="2" s="1"/>
  <c r="AA438" i="2"/>
  <c r="AA790" i="2"/>
  <c r="AA598" i="2"/>
  <c r="AA694" i="2"/>
  <c r="Y310" i="2"/>
  <c r="U86" i="2"/>
  <c r="U90" i="2" s="1"/>
  <c r="Z94" i="2" s="1"/>
  <c r="AE949" i="2"/>
  <c r="AE821" i="2"/>
  <c r="AE373" i="2"/>
  <c r="Z830" i="2"/>
  <c r="Z950" i="2"/>
  <c r="Z182" i="2"/>
  <c r="Y246" i="2"/>
  <c r="AA278" i="2"/>
  <c r="Y598" i="2"/>
  <c r="Y790" i="2"/>
  <c r="AA726" i="2"/>
  <c r="Z918" i="2"/>
  <c r="AA182" i="2"/>
  <c r="Z502" i="2"/>
  <c r="Y758" i="2"/>
  <c r="Z886" i="2"/>
  <c r="AG117" i="2"/>
  <c r="AG118" i="2" s="1"/>
  <c r="AA86" i="2"/>
  <c r="AA374" i="2"/>
  <c r="Y406" i="2"/>
  <c r="Y918" i="2"/>
  <c r="AG501" i="2"/>
  <c r="AG502" i="2" s="1"/>
  <c r="Y950" i="2"/>
  <c r="Y342" i="2"/>
  <c r="Y566" i="2"/>
  <c r="Y630" i="2"/>
  <c r="AA566" i="2"/>
  <c r="AG757" i="2"/>
  <c r="AG758" i="2" s="1"/>
  <c r="AG245" i="2"/>
  <c r="AG246" i="2" s="1"/>
  <c r="AA854" i="2"/>
  <c r="AD980" i="2"/>
  <c r="AF980" i="2"/>
  <c r="X913" i="2"/>
  <c r="AC913" i="2"/>
  <c r="AE725" i="2"/>
  <c r="Z342" i="2"/>
  <c r="AA118" i="2"/>
  <c r="Y534" i="2"/>
  <c r="Z598" i="2"/>
  <c r="Z790" i="2"/>
  <c r="Z438" i="2"/>
  <c r="Z854" i="2"/>
  <c r="Y214" i="2"/>
  <c r="Z278" i="2"/>
  <c r="AA214" i="2"/>
  <c r="Z566" i="2"/>
  <c r="Z630" i="2"/>
  <c r="Z758" i="2"/>
  <c r="Y470" i="2"/>
  <c r="Y822" i="2"/>
  <c r="AC13" i="2"/>
  <c r="U40" i="1"/>
  <c r="AE980" i="2"/>
  <c r="AC947" i="2"/>
  <c r="AC946" i="2"/>
  <c r="AA310" i="2"/>
  <c r="Z406" i="2"/>
  <c r="Z534" i="2"/>
  <c r="Y662" i="2"/>
  <c r="Y374" i="2"/>
  <c r="Y726" i="2"/>
  <c r="Y86" i="2"/>
  <c r="Z246" i="2"/>
  <c r="AA918" i="2"/>
  <c r="AA662" i="2"/>
  <c r="AA406" i="2"/>
  <c r="Z470" i="2"/>
  <c r="Y694" i="2"/>
  <c r="Z822" i="2"/>
  <c r="X625" i="2"/>
  <c r="AC625" i="2"/>
  <c r="X721" i="2"/>
  <c r="AC721" i="2"/>
  <c r="X657" i="2"/>
  <c r="AC657" i="2"/>
  <c r="AE853" i="2"/>
  <c r="AE693" i="2"/>
  <c r="Y15" i="2"/>
  <c r="Y18" i="2" s="1"/>
  <c r="AA246" i="2"/>
  <c r="Y502" i="2"/>
  <c r="Z662" i="2"/>
  <c r="Z374" i="2"/>
  <c r="Z726" i="2"/>
  <c r="Z86" i="2"/>
  <c r="Z214" i="2"/>
  <c r="Y278" i="2"/>
  <c r="Z310" i="2"/>
  <c r="AA342" i="2"/>
  <c r="Y886" i="2"/>
  <c r="Z694" i="2"/>
  <c r="AE947" i="2"/>
  <c r="AG53" i="2"/>
  <c r="AG54" i="2" s="1"/>
  <c r="X593" i="2"/>
  <c r="AC593" i="2"/>
  <c r="AC817" i="2"/>
  <c r="X561" i="2"/>
  <c r="AC561" i="2"/>
  <c r="X785" i="2"/>
  <c r="AC785" i="2"/>
  <c r="AC881" i="2"/>
  <c r="Y150" i="2"/>
  <c r="U598" i="2"/>
  <c r="U602" i="2" s="1"/>
  <c r="Z602" i="2" s="1"/>
  <c r="Z150" i="2"/>
  <c r="U854" i="2"/>
  <c r="U858" i="2" s="1"/>
  <c r="Z862" i="2" s="1"/>
  <c r="U342" i="2"/>
  <c r="U346" i="2" s="1"/>
  <c r="Z346" i="2" s="1"/>
  <c r="AE467" i="2"/>
  <c r="Y118" i="2"/>
  <c r="Z118" i="2"/>
  <c r="Y182" i="2"/>
  <c r="AA150" i="2"/>
  <c r="U726" i="2"/>
  <c r="U730" i="2" s="1"/>
  <c r="Z730" i="2" s="1"/>
  <c r="U470" i="2"/>
  <c r="U474" i="2" s="1"/>
  <c r="Z478" i="2" s="1"/>
  <c r="U214" i="2"/>
  <c r="U218" i="2" s="1"/>
  <c r="Z222" i="2" s="1"/>
  <c r="U246" i="2"/>
  <c r="U250" i="2" s="1"/>
  <c r="Z254" i="2" s="1"/>
  <c r="U118" i="2"/>
  <c r="U122" i="2" s="1"/>
  <c r="Z126" i="2" s="1"/>
  <c r="U11" i="1"/>
  <c r="X113" i="2"/>
  <c r="AC113" i="2"/>
  <c r="X177" i="2"/>
  <c r="AC177" i="2"/>
  <c r="X241" i="2"/>
  <c r="AC241" i="2"/>
  <c r="X305" i="2"/>
  <c r="AC305" i="2"/>
  <c r="X49" i="2"/>
  <c r="AC49" i="2"/>
  <c r="X401" i="2"/>
  <c r="AC401" i="2"/>
  <c r="X465" i="2"/>
  <c r="AC465" i="2"/>
  <c r="X529" i="2"/>
  <c r="AC529" i="2"/>
  <c r="X81" i="2"/>
  <c r="AC81" i="2"/>
  <c r="X145" i="2"/>
  <c r="AC145" i="2"/>
  <c r="X209" i="2"/>
  <c r="AC209" i="2"/>
  <c r="X273" i="2"/>
  <c r="AC273" i="2"/>
  <c r="X337" i="2"/>
  <c r="AC337" i="2"/>
  <c r="X369" i="2"/>
  <c r="AC369" i="2"/>
  <c r="X433" i="2"/>
  <c r="AC433" i="2"/>
  <c r="X497" i="2"/>
  <c r="AC497" i="2"/>
  <c r="X977" i="2"/>
  <c r="AC977" i="2"/>
  <c r="Z894" i="2"/>
  <c r="U982" i="2"/>
  <c r="U986" i="2" s="1"/>
  <c r="U918" i="2"/>
  <c r="U922" i="2" s="1"/>
  <c r="Z926" i="2" s="1"/>
  <c r="U790" i="2"/>
  <c r="U794" i="2" s="1"/>
  <c r="Z794" i="2" s="1"/>
  <c r="U662" i="2"/>
  <c r="U666" i="2" s="1"/>
  <c r="Z666" i="2" s="1"/>
  <c r="U534" i="2"/>
  <c r="U538" i="2" s="1"/>
  <c r="Z538" i="2" s="1"/>
  <c r="U406" i="2"/>
  <c r="U410" i="2" s="1"/>
  <c r="Z414" i="2" s="1"/>
  <c r="U278" i="2"/>
  <c r="U282" i="2" s="1"/>
  <c r="Z286" i="2" s="1"/>
  <c r="U150" i="2"/>
  <c r="U154" i="2" s="1"/>
  <c r="Z158" i="2" s="1"/>
  <c r="U310" i="2"/>
  <c r="U314" i="2" s="1"/>
  <c r="Z318" i="2" s="1"/>
  <c r="U182" i="2"/>
  <c r="U186" i="2" s="1"/>
  <c r="Z190" i="2" s="1"/>
  <c r="AD947" i="2"/>
  <c r="U41" i="1"/>
  <c r="V15" i="2"/>
  <c r="AB15" i="2" s="1"/>
  <c r="AB18" i="2" s="1"/>
  <c r="U15" i="2"/>
  <c r="AC15" i="2" s="1"/>
  <c r="U51" i="2"/>
  <c r="AC51" i="2" s="1"/>
  <c r="V51" i="2"/>
  <c r="AB51" i="2" s="1"/>
  <c r="AB54" i="2" s="1"/>
  <c r="Y51" i="2"/>
  <c r="Y54" i="2" s="1"/>
  <c r="Z51" i="2"/>
  <c r="Z54" i="2" s="1"/>
  <c r="Z18" i="2"/>
  <c r="X917" i="2"/>
  <c r="AC917" i="2"/>
  <c r="AE917" i="2"/>
  <c r="X818" i="2"/>
  <c r="AD818" i="2" s="1"/>
  <c r="AC818" i="2"/>
  <c r="X819" i="2"/>
  <c r="AD819" i="2" s="1"/>
  <c r="AC819" i="2"/>
  <c r="X789" i="2"/>
  <c r="AC789" i="2"/>
  <c r="AE789" i="2"/>
  <c r="X787" i="2"/>
  <c r="AD787" i="2" s="1"/>
  <c r="AC787" i="2"/>
  <c r="AE787" i="2"/>
  <c r="X756" i="2"/>
  <c r="AC756" i="2"/>
  <c r="AE756" i="2"/>
  <c r="X658" i="2"/>
  <c r="AD658" i="2" s="1"/>
  <c r="AC658" i="2"/>
  <c r="X629" i="2"/>
  <c r="AE629" i="2"/>
  <c r="AC629" i="2"/>
  <c r="X530" i="2"/>
  <c r="AD530" i="2" s="1"/>
  <c r="AC530" i="2"/>
  <c r="X627" i="2"/>
  <c r="AD627" i="2" s="1"/>
  <c r="AE627" i="2"/>
  <c r="AC627" i="2"/>
  <c r="X596" i="2"/>
  <c r="AE596" i="2"/>
  <c r="AC596" i="2"/>
  <c r="X499" i="2"/>
  <c r="AD499" i="2" s="1"/>
  <c r="AC499" i="2"/>
  <c r="AE499" i="2"/>
  <c r="X468" i="2"/>
  <c r="AC468" i="2"/>
  <c r="X371" i="2"/>
  <c r="AD371" i="2" s="1"/>
  <c r="AC371" i="2"/>
  <c r="X340" i="2"/>
  <c r="AE340" i="2"/>
  <c r="AC340" i="2"/>
  <c r="X434" i="2"/>
  <c r="AD434" i="2" s="1"/>
  <c r="AC434" i="2"/>
  <c r="X405" i="2"/>
  <c r="AC405" i="2"/>
  <c r="AE405" i="2"/>
  <c r="X275" i="2"/>
  <c r="AD275" i="2" s="1"/>
  <c r="AC275" i="2"/>
  <c r="AE275" i="2"/>
  <c r="X244" i="2"/>
  <c r="AC244" i="2"/>
  <c r="AE244" i="2"/>
  <c r="X147" i="2"/>
  <c r="AD147" i="2" s="1"/>
  <c r="AC147" i="2"/>
  <c r="AE147" i="2"/>
  <c r="X116" i="2"/>
  <c r="AC116" i="2"/>
  <c r="AE116" i="2"/>
  <c r="X16" i="2"/>
  <c r="AD16" i="2" s="1"/>
  <c r="AC16" i="2"/>
  <c r="X242" i="2"/>
  <c r="AD242" i="2" s="1"/>
  <c r="AC242" i="2"/>
  <c r="X213" i="2"/>
  <c r="AE213" i="2"/>
  <c r="AC213" i="2"/>
  <c r="X114" i="2"/>
  <c r="AD114" i="2" s="1"/>
  <c r="AC114" i="2"/>
  <c r="X85" i="2"/>
  <c r="AE85" i="2"/>
  <c r="AC85" i="2"/>
  <c r="AE16" i="2"/>
  <c r="Z474" i="2"/>
  <c r="X979" i="2"/>
  <c r="AD979" i="2" s="1"/>
  <c r="AC979" i="2"/>
  <c r="X948" i="2"/>
  <c r="AC948" i="2"/>
  <c r="X915" i="2"/>
  <c r="AD915" i="2" s="1"/>
  <c r="AE915" i="2"/>
  <c r="AC915" i="2"/>
  <c r="X914" i="2"/>
  <c r="AD914" i="2" s="1"/>
  <c r="AC914" i="2"/>
  <c r="X885" i="2"/>
  <c r="AC885" i="2"/>
  <c r="AE885" i="2"/>
  <c r="X884" i="2"/>
  <c r="AE884" i="2"/>
  <c r="AC884" i="2"/>
  <c r="X786" i="2"/>
  <c r="AD786" i="2" s="1"/>
  <c r="AC786" i="2"/>
  <c r="X757" i="2"/>
  <c r="AE757" i="2"/>
  <c r="AC757" i="2"/>
  <c r="X755" i="2"/>
  <c r="AD755" i="2" s="1"/>
  <c r="AE755" i="2"/>
  <c r="AC755" i="2"/>
  <c r="X724" i="2"/>
  <c r="AC724" i="2"/>
  <c r="X626" i="2"/>
  <c r="AD626" i="2" s="1"/>
  <c r="AC626" i="2"/>
  <c r="X597" i="2"/>
  <c r="AC597" i="2"/>
  <c r="AE597" i="2"/>
  <c r="X659" i="2"/>
  <c r="AD659" i="2" s="1"/>
  <c r="AC659" i="2"/>
  <c r="AE659" i="2"/>
  <c r="X628" i="2"/>
  <c r="AC628" i="2"/>
  <c r="AE628" i="2"/>
  <c r="X531" i="2"/>
  <c r="AD531" i="2" s="1"/>
  <c r="AC531" i="2"/>
  <c r="AE531" i="2"/>
  <c r="X500" i="2"/>
  <c r="AE500" i="2"/>
  <c r="AC500" i="2"/>
  <c r="X403" i="2"/>
  <c r="AD403" i="2" s="1"/>
  <c r="AE403" i="2"/>
  <c r="AC403" i="2"/>
  <c r="X372" i="2"/>
  <c r="AC372" i="2"/>
  <c r="X466" i="2"/>
  <c r="AD466" i="2" s="1"/>
  <c r="AC466" i="2"/>
  <c r="X437" i="2"/>
  <c r="AC437" i="2"/>
  <c r="X307" i="2"/>
  <c r="AD307" i="2" s="1"/>
  <c r="AE307" i="2"/>
  <c r="AC307" i="2"/>
  <c r="X276" i="2"/>
  <c r="AE276" i="2"/>
  <c r="AC276" i="2"/>
  <c r="X179" i="2"/>
  <c r="AD179" i="2" s="1"/>
  <c r="AE179" i="2"/>
  <c r="AC179" i="2"/>
  <c r="X148" i="2"/>
  <c r="AE148" i="2"/>
  <c r="AC148" i="2"/>
  <c r="X50" i="2"/>
  <c r="AD50" i="2" s="1"/>
  <c r="AC50" i="2"/>
  <c r="X17" i="2"/>
  <c r="AD17" i="2" s="1"/>
  <c r="AC17" i="2"/>
  <c r="X274" i="2"/>
  <c r="AD274" i="2" s="1"/>
  <c r="AC274" i="2"/>
  <c r="X245" i="2"/>
  <c r="AC245" i="2"/>
  <c r="AE245" i="2"/>
  <c r="X146" i="2"/>
  <c r="AD146" i="2" s="1"/>
  <c r="AC146" i="2"/>
  <c r="X117" i="2"/>
  <c r="AC117" i="2"/>
  <c r="AE117" i="2"/>
  <c r="X14" i="2"/>
  <c r="AD14" i="2" s="1"/>
  <c r="AC14" i="2"/>
  <c r="Z766" i="2"/>
  <c r="Z762" i="2"/>
  <c r="Z638" i="2"/>
  <c r="Z634" i="2"/>
  <c r="Z510" i="2"/>
  <c r="Z506" i="2"/>
  <c r="AE17" i="2"/>
  <c r="Z378" i="2"/>
  <c r="Z442" i="2"/>
  <c r="Z698" i="2"/>
  <c r="AE948" i="2"/>
  <c r="AF981" i="2"/>
  <c r="AF982" i="2" s="1"/>
  <c r="Z90" i="2"/>
  <c r="AE468" i="2"/>
  <c r="AE724" i="2"/>
  <c r="X916" i="2"/>
  <c r="AC916" i="2"/>
  <c r="AE916" i="2"/>
  <c r="X882" i="2"/>
  <c r="AD882" i="2" s="1"/>
  <c r="AC882" i="2"/>
  <c r="X853" i="2"/>
  <c r="AC853" i="2"/>
  <c r="X883" i="2"/>
  <c r="AD883" i="2" s="1"/>
  <c r="AC883" i="2"/>
  <c r="AE883" i="2"/>
  <c r="X852" i="2"/>
  <c r="AC852" i="2"/>
  <c r="X754" i="2"/>
  <c r="AD754" i="2" s="1"/>
  <c r="AC754" i="2"/>
  <c r="X725" i="2"/>
  <c r="AC725" i="2"/>
  <c r="X723" i="2"/>
  <c r="AD723" i="2" s="1"/>
  <c r="AC723" i="2"/>
  <c r="X693" i="2"/>
  <c r="AC693" i="2"/>
  <c r="X594" i="2"/>
  <c r="AD594" i="2" s="1"/>
  <c r="AC594" i="2"/>
  <c r="X565" i="2"/>
  <c r="AE565" i="2"/>
  <c r="AC565" i="2"/>
  <c r="X691" i="2"/>
  <c r="AD691" i="2" s="1"/>
  <c r="AC691" i="2"/>
  <c r="X660" i="2"/>
  <c r="AE660" i="2"/>
  <c r="AC660" i="2"/>
  <c r="X563" i="2"/>
  <c r="AD563" i="2" s="1"/>
  <c r="AE563" i="2"/>
  <c r="AC563" i="2"/>
  <c r="X532" i="2"/>
  <c r="AE532" i="2"/>
  <c r="AC532" i="2"/>
  <c r="X435" i="2"/>
  <c r="AD435" i="2" s="1"/>
  <c r="AC435" i="2"/>
  <c r="X404" i="2"/>
  <c r="AC404" i="2"/>
  <c r="AE404" i="2"/>
  <c r="X498" i="2"/>
  <c r="AD498" i="2" s="1"/>
  <c r="AC498" i="2"/>
  <c r="X469" i="2"/>
  <c r="AC469" i="2"/>
  <c r="X370" i="2"/>
  <c r="AD370" i="2" s="1"/>
  <c r="AC370" i="2"/>
  <c r="X341" i="2"/>
  <c r="AE341" i="2"/>
  <c r="AC341" i="2"/>
  <c r="X308" i="2"/>
  <c r="AC308" i="2"/>
  <c r="AE308" i="2"/>
  <c r="X211" i="2"/>
  <c r="AD211" i="2" s="1"/>
  <c r="AC211" i="2"/>
  <c r="AE211" i="2"/>
  <c r="X180" i="2"/>
  <c r="AC180" i="2"/>
  <c r="AE180" i="2"/>
  <c r="X83" i="2"/>
  <c r="AD83" i="2" s="1"/>
  <c r="AC83" i="2"/>
  <c r="AE83" i="2"/>
  <c r="X53" i="2"/>
  <c r="AE53" i="2"/>
  <c r="AC53" i="2"/>
  <c r="X306" i="2"/>
  <c r="AD306" i="2" s="1"/>
  <c r="AC306" i="2"/>
  <c r="X277" i="2"/>
  <c r="AE277" i="2"/>
  <c r="AC277" i="2"/>
  <c r="X178" i="2"/>
  <c r="AD178" i="2" s="1"/>
  <c r="AC178" i="2"/>
  <c r="X149" i="2"/>
  <c r="AE149" i="2"/>
  <c r="AC149" i="2"/>
  <c r="X51" i="2"/>
  <c r="X15" i="2"/>
  <c r="AF17" i="2"/>
  <c r="X978" i="2"/>
  <c r="AD978" i="2" s="1"/>
  <c r="AD982" i="2" s="1"/>
  <c r="AC978" i="2"/>
  <c r="X949" i="2"/>
  <c r="AC949" i="2"/>
  <c r="X850" i="2"/>
  <c r="AD850" i="2" s="1"/>
  <c r="AC850" i="2"/>
  <c r="X821" i="2"/>
  <c r="AC821" i="2"/>
  <c r="X851" i="2"/>
  <c r="AD851" i="2" s="1"/>
  <c r="AC851" i="2"/>
  <c r="X820" i="2"/>
  <c r="AC820" i="2"/>
  <c r="X722" i="2"/>
  <c r="AD722" i="2" s="1"/>
  <c r="AC722" i="2"/>
  <c r="X788" i="2"/>
  <c r="AE788" i="2"/>
  <c r="AC788" i="2"/>
  <c r="X690" i="2"/>
  <c r="AD690" i="2" s="1"/>
  <c r="AC690" i="2"/>
  <c r="X661" i="2"/>
  <c r="AC661" i="2"/>
  <c r="AE661" i="2"/>
  <c r="X562" i="2"/>
  <c r="AD562" i="2" s="1"/>
  <c r="AC562" i="2"/>
  <c r="X533" i="2"/>
  <c r="AC533" i="2"/>
  <c r="AE533" i="2"/>
  <c r="X692" i="2"/>
  <c r="AC692" i="2"/>
  <c r="X595" i="2"/>
  <c r="AD595" i="2" s="1"/>
  <c r="AC595" i="2"/>
  <c r="AE595" i="2"/>
  <c r="X564" i="2"/>
  <c r="AC564" i="2"/>
  <c r="AE564" i="2"/>
  <c r="X467" i="2"/>
  <c r="AD467" i="2" s="1"/>
  <c r="AC467" i="2"/>
  <c r="X436" i="2"/>
  <c r="AC436" i="2"/>
  <c r="X339" i="2"/>
  <c r="AD339" i="2" s="1"/>
  <c r="AC339" i="2"/>
  <c r="AE339" i="2"/>
  <c r="X501" i="2"/>
  <c r="AE501" i="2"/>
  <c r="AC501" i="2"/>
  <c r="X402" i="2"/>
  <c r="AD402" i="2" s="1"/>
  <c r="AC402" i="2"/>
  <c r="X373" i="2"/>
  <c r="AC373" i="2"/>
  <c r="X243" i="2"/>
  <c r="AD243" i="2" s="1"/>
  <c r="AE243" i="2"/>
  <c r="AC243" i="2"/>
  <c r="X212" i="2"/>
  <c r="AE212" i="2"/>
  <c r="AC212" i="2"/>
  <c r="X115" i="2"/>
  <c r="AD115" i="2" s="1"/>
  <c r="AE115" i="2"/>
  <c r="AC115" i="2"/>
  <c r="X84" i="2"/>
  <c r="AE84" i="2"/>
  <c r="AC84" i="2"/>
  <c r="X338" i="2"/>
  <c r="AD338" i="2" s="1"/>
  <c r="AC338" i="2"/>
  <c r="X309" i="2"/>
  <c r="AC309" i="2"/>
  <c r="AE309" i="2"/>
  <c r="X210" i="2"/>
  <c r="AD210" i="2" s="1"/>
  <c r="AC210" i="2"/>
  <c r="X181" i="2"/>
  <c r="AC181" i="2"/>
  <c r="AE181" i="2"/>
  <c r="X82" i="2"/>
  <c r="AD82" i="2" s="1"/>
  <c r="AC82" i="2"/>
  <c r="X52" i="2"/>
  <c r="AC52" i="2"/>
  <c r="AE52" i="2"/>
  <c r="Z958" i="2"/>
  <c r="Z954" i="2"/>
  <c r="Z574" i="2"/>
  <c r="Z570" i="2"/>
  <c r="AE372" i="2"/>
  <c r="AE435" i="2"/>
  <c r="AE691" i="2"/>
  <c r="AE723" i="2"/>
  <c r="AE819" i="2"/>
  <c r="AE851" i="2"/>
  <c r="AG17" i="2"/>
  <c r="AG18" i="2" s="1"/>
  <c r="AE371" i="2"/>
  <c r="AE437" i="2"/>
  <c r="AE469" i="2"/>
  <c r="AE692" i="2"/>
  <c r="AE820" i="2"/>
  <c r="AE852" i="2"/>
  <c r="AE979" i="2"/>
  <c r="AE982" i="2" s="1"/>
  <c r="U27" i="1"/>
  <c r="U22" i="1"/>
  <c r="U13" i="1"/>
  <c r="U12" i="1"/>
  <c r="U17" i="1"/>
  <c r="U31" i="1"/>
  <c r="U38" i="1"/>
  <c r="U29" i="1"/>
  <c r="U25" i="1"/>
  <c r="U18" i="1"/>
  <c r="U20" i="1"/>
  <c r="U35" i="1"/>
  <c r="U15" i="1"/>
  <c r="U32" i="1"/>
  <c r="U33" i="1"/>
  <c r="U28" i="1"/>
  <c r="U26" i="1"/>
  <c r="U23" i="1"/>
  <c r="U14" i="1"/>
  <c r="U24" i="1"/>
  <c r="U39" i="1"/>
  <c r="U36" i="1"/>
  <c r="U21" i="1"/>
  <c r="U19" i="1"/>
  <c r="U16" i="1"/>
  <c r="U34" i="1"/>
  <c r="U37" i="1"/>
  <c r="Q47" i="1"/>
  <c r="B47" i="1"/>
  <c r="K47" i="1"/>
  <c r="G47" i="1"/>
  <c r="L47" i="1"/>
  <c r="H47" i="1"/>
  <c r="D47" i="1"/>
  <c r="C47" i="1"/>
  <c r="N46" i="1"/>
  <c r="O46" i="1" s="1"/>
  <c r="N45" i="1"/>
  <c r="O45" i="1" s="1"/>
  <c r="N44" i="1"/>
  <c r="O44" i="1" s="1"/>
  <c r="N43" i="1"/>
  <c r="N42" i="1"/>
  <c r="T46" i="1"/>
  <c r="T45" i="1"/>
  <c r="T44" i="1"/>
  <c r="T43" i="1"/>
  <c r="T42" i="1"/>
  <c r="M47" i="1"/>
  <c r="I47" i="1"/>
  <c r="E47" i="1"/>
  <c r="J47" i="1"/>
  <c r="F47" i="1"/>
  <c r="AD51" i="2" l="1"/>
  <c r="AE950" i="2"/>
  <c r="Z122" i="2"/>
  <c r="AE15" i="2"/>
  <c r="AE18" i="2" s="1"/>
  <c r="AC982" i="2"/>
  <c r="Z798" i="2"/>
  <c r="AE886" i="2"/>
  <c r="Z282" i="2"/>
  <c r="Z606" i="2"/>
  <c r="AF16" i="2"/>
  <c r="AF18" i="2" s="1"/>
  <c r="AC758" i="2"/>
  <c r="Z218" i="2"/>
  <c r="Z734" i="2"/>
  <c r="Z350" i="2"/>
  <c r="Z542" i="2"/>
  <c r="Z250" i="2"/>
  <c r="Z858" i="2"/>
  <c r="AE342" i="2"/>
  <c r="AE598" i="2"/>
  <c r="AC726" i="2"/>
  <c r="Z410" i="2"/>
  <c r="Z670" i="2"/>
  <c r="Z154" i="2"/>
  <c r="AC86" i="2"/>
  <c r="AE246" i="2"/>
  <c r="AE51" i="2"/>
  <c r="AE54" i="2" s="1"/>
  <c r="Z186" i="2"/>
  <c r="Z922" i="2"/>
  <c r="AH982" i="2"/>
  <c r="U985" i="2" s="1"/>
  <c r="Z986" i="2"/>
  <c r="Z990" i="2"/>
  <c r="AC214" i="2"/>
  <c r="Z314" i="2"/>
  <c r="AA51" i="2"/>
  <c r="AA54" i="2" s="1"/>
  <c r="U54" i="2"/>
  <c r="U58" i="2" s="1"/>
  <c r="AA15" i="2"/>
  <c r="AA18" i="2" s="1"/>
  <c r="U18" i="2"/>
  <c r="U24" i="2" s="1"/>
  <c r="AE726" i="2"/>
  <c r="AC342" i="2"/>
  <c r="AE118" i="2"/>
  <c r="AC406" i="2"/>
  <c r="AD15" i="2"/>
  <c r="AD18" i="2" s="1"/>
  <c r="AE758" i="2"/>
  <c r="AE374" i="2"/>
  <c r="AE470" i="2"/>
  <c r="AE438" i="2"/>
  <c r="AD52" i="2"/>
  <c r="AF52" i="2"/>
  <c r="AD373" i="2"/>
  <c r="AF373" i="2"/>
  <c r="AD436" i="2"/>
  <c r="AF436" i="2"/>
  <c r="AD692" i="2"/>
  <c r="AF692" i="2"/>
  <c r="AC566" i="2"/>
  <c r="AD661" i="2"/>
  <c r="AF661" i="2"/>
  <c r="AC854" i="2"/>
  <c r="AD149" i="2"/>
  <c r="AF149" i="2"/>
  <c r="AC310" i="2"/>
  <c r="AF53" i="2"/>
  <c r="AD53" i="2"/>
  <c r="AD180" i="2"/>
  <c r="AF180" i="2"/>
  <c r="AD308" i="2"/>
  <c r="AF308" i="2"/>
  <c r="AC374" i="2"/>
  <c r="AC502" i="2"/>
  <c r="AD404" i="2"/>
  <c r="AF404" i="2"/>
  <c r="AF565" i="2"/>
  <c r="AD565" i="2"/>
  <c r="AD693" i="2"/>
  <c r="AF693" i="2"/>
  <c r="AD725" i="2"/>
  <c r="AF725" i="2"/>
  <c r="AD852" i="2"/>
  <c r="AF852" i="2"/>
  <c r="AC886" i="2"/>
  <c r="AD916" i="2"/>
  <c r="AF916" i="2"/>
  <c r="AC150" i="2"/>
  <c r="AF245" i="2"/>
  <c r="AD245" i="2"/>
  <c r="AD437" i="2"/>
  <c r="AF437" i="2"/>
  <c r="AD372" i="2"/>
  <c r="AF372" i="2"/>
  <c r="AE406" i="2"/>
  <c r="AF500" i="2"/>
  <c r="AD500" i="2"/>
  <c r="AD628" i="2"/>
  <c r="AF628" i="2"/>
  <c r="AD597" i="2"/>
  <c r="AF597" i="2"/>
  <c r="AD724" i="2"/>
  <c r="AF724" i="2"/>
  <c r="AF757" i="2"/>
  <c r="AD757" i="2"/>
  <c r="AD885" i="2"/>
  <c r="AF885" i="2"/>
  <c r="AE918" i="2"/>
  <c r="AC950" i="2"/>
  <c r="AC118" i="2"/>
  <c r="AD213" i="2"/>
  <c r="AF213" i="2"/>
  <c r="AE150" i="2"/>
  <c r="AE278" i="2"/>
  <c r="AC438" i="2"/>
  <c r="AD340" i="2"/>
  <c r="AF340" i="2"/>
  <c r="AD468" i="2"/>
  <c r="AF468" i="2"/>
  <c r="AF596" i="2"/>
  <c r="AD596" i="2"/>
  <c r="AE630" i="2"/>
  <c r="AC534" i="2"/>
  <c r="AF629" i="2"/>
  <c r="AD629" i="2"/>
  <c r="AE790" i="2"/>
  <c r="AC822" i="2"/>
  <c r="AF917" i="2"/>
  <c r="AD917" i="2"/>
  <c r="AE854" i="2"/>
  <c r="AF309" i="2"/>
  <c r="AD309" i="2"/>
  <c r="AE822" i="2"/>
  <c r="AE694" i="2"/>
  <c r="AF181" i="2"/>
  <c r="AD181" i="2"/>
  <c r="AD84" i="2"/>
  <c r="AF84" i="2"/>
  <c r="AD212" i="2"/>
  <c r="AD214" i="2" s="1"/>
  <c r="AF212" i="2"/>
  <c r="AF214" i="2" s="1"/>
  <c r="AD501" i="2"/>
  <c r="AD502" i="2" s="1"/>
  <c r="AF501" i="2"/>
  <c r="AD564" i="2"/>
  <c r="AF564" i="2"/>
  <c r="AD533" i="2"/>
  <c r="AF533" i="2"/>
  <c r="AC694" i="2"/>
  <c r="AF788" i="2"/>
  <c r="AD788" i="2"/>
  <c r="AD820" i="2"/>
  <c r="AF820" i="2"/>
  <c r="AD821" i="2"/>
  <c r="AF821" i="2"/>
  <c r="AD949" i="2"/>
  <c r="AF949" i="2"/>
  <c r="AC182" i="2"/>
  <c r="AD277" i="2"/>
  <c r="AF277" i="2"/>
  <c r="AE86" i="2"/>
  <c r="AE214" i="2"/>
  <c r="AD341" i="2"/>
  <c r="AF341" i="2"/>
  <c r="AD469" i="2"/>
  <c r="AF469" i="2"/>
  <c r="AF532" i="2"/>
  <c r="AD532" i="2"/>
  <c r="AE566" i="2"/>
  <c r="AF660" i="2"/>
  <c r="AD660" i="2"/>
  <c r="AC598" i="2"/>
  <c r="AD853" i="2"/>
  <c r="AF853" i="2"/>
  <c r="AC18" i="2"/>
  <c r="AF117" i="2"/>
  <c r="AD117" i="2"/>
  <c r="AC278" i="2"/>
  <c r="AC54" i="2"/>
  <c r="AD148" i="2"/>
  <c r="AF148" i="2"/>
  <c r="AE182" i="2"/>
  <c r="AD276" i="2"/>
  <c r="AF276" i="2"/>
  <c r="AE310" i="2"/>
  <c r="AC470" i="2"/>
  <c r="AE534" i="2"/>
  <c r="AE662" i="2"/>
  <c r="AC630" i="2"/>
  <c r="AC790" i="2"/>
  <c r="AD884" i="2"/>
  <c r="AF884" i="2"/>
  <c r="AC918" i="2"/>
  <c r="AD948" i="2"/>
  <c r="AF948" i="2"/>
  <c r="AD85" i="2"/>
  <c r="AF85" i="2"/>
  <c r="AC246" i="2"/>
  <c r="AD116" i="2"/>
  <c r="AF116" i="2"/>
  <c r="AF118" i="2" s="1"/>
  <c r="AD244" i="2"/>
  <c r="AF244" i="2"/>
  <c r="AF405" i="2"/>
  <c r="AD405" i="2"/>
  <c r="AE502" i="2"/>
  <c r="AC662" i="2"/>
  <c r="AD756" i="2"/>
  <c r="AF756" i="2"/>
  <c r="AD789" i="2"/>
  <c r="AF789" i="2"/>
  <c r="T47" i="1"/>
  <c r="U46" i="1"/>
  <c r="U45" i="1"/>
  <c r="U44" i="1"/>
  <c r="U43" i="1"/>
  <c r="U42" i="1"/>
  <c r="O43" i="1"/>
  <c r="O42" i="1"/>
  <c r="N47" i="1"/>
  <c r="O47" i="1" s="1"/>
  <c r="AD822" i="2" l="1"/>
  <c r="AF886" i="2"/>
  <c r="AD886" i="2"/>
  <c r="AD374" i="2"/>
  <c r="AF662" i="2"/>
  <c r="AD534" i="2"/>
  <c r="AD438" i="2"/>
  <c r="AD54" i="2"/>
  <c r="AD694" i="2"/>
  <c r="AD758" i="2"/>
  <c r="AD246" i="2"/>
  <c r="AD278" i="2"/>
  <c r="AD854" i="2"/>
  <c r="AD662" i="2"/>
  <c r="AD310" i="2"/>
  <c r="AD726" i="2"/>
  <c r="AF374" i="2"/>
  <c r="AD566" i="2"/>
  <c r="AF758" i="2"/>
  <c r="AF246" i="2"/>
  <c r="AD150" i="2"/>
  <c r="AD918" i="2"/>
  <c r="AD630" i="2"/>
  <c r="AD598" i="2"/>
  <c r="AD118" i="2"/>
  <c r="AH118" i="2" s="1"/>
  <c r="U121" i="2" s="1"/>
  <c r="Z124" i="2" s="1"/>
  <c r="P41" i="2" s="1"/>
  <c r="Q41" i="2" s="1"/>
  <c r="AF534" i="2"/>
  <c r="AD950" i="2"/>
  <c r="Z988" i="2"/>
  <c r="P68" i="2" s="1"/>
  <c r="Q68" i="2" s="1"/>
  <c r="AF950" i="2"/>
  <c r="AF150" i="2"/>
  <c r="AH18" i="2"/>
  <c r="U23" i="2" s="1"/>
  <c r="AF566" i="2"/>
  <c r="AF278" i="2"/>
  <c r="AF726" i="2"/>
  <c r="AF598" i="2"/>
  <c r="Z28" i="2"/>
  <c r="Z24" i="2"/>
  <c r="Z58" i="2"/>
  <c r="Z62" i="2"/>
  <c r="AD86" i="2"/>
  <c r="AD406" i="2"/>
  <c r="AD182" i="2"/>
  <c r="AD790" i="2"/>
  <c r="AD470" i="2"/>
  <c r="AD342" i="2"/>
  <c r="AH214" i="2"/>
  <c r="U217" i="2" s="1"/>
  <c r="Z220" i="2" s="1"/>
  <c r="P44" i="2" s="1"/>
  <c r="Q44" i="2" s="1"/>
  <c r="AF822" i="2"/>
  <c r="AH822" i="2" s="1"/>
  <c r="U825" i="2" s="1"/>
  <c r="Z828" i="2" s="1"/>
  <c r="P63" i="2" s="1"/>
  <c r="Q63" i="2" s="1"/>
  <c r="AF790" i="2"/>
  <c r="AF502" i="2"/>
  <c r="AH502" i="2" s="1"/>
  <c r="U505" i="2" s="1"/>
  <c r="Z508" i="2" s="1"/>
  <c r="P53" i="2" s="1"/>
  <c r="Q53" i="2" s="1"/>
  <c r="AF854" i="2"/>
  <c r="AF406" i="2"/>
  <c r="AF310" i="2"/>
  <c r="AF182" i="2"/>
  <c r="AF694" i="2"/>
  <c r="AF438" i="2"/>
  <c r="AF54" i="2"/>
  <c r="AH54" i="2" s="1"/>
  <c r="U57" i="2" s="1"/>
  <c r="AF86" i="2"/>
  <c r="AH534" i="2"/>
  <c r="U537" i="2" s="1"/>
  <c r="Z540" i="2" s="1"/>
  <c r="P54" i="2" s="1"/>
  <c r="Q54" i="2" s="1"/>
  <c r="AF470" i="2"/>
  <c r="AF342" i="2"/>
  <c r="AF630" i="2"/>
  <c r="AF918" i="2"/>
  <c r="U47" i="1"/>
  <c r="AH150" i="2" l="1"/>
  <c r="U153" i="2" s="1"/>
  <c r="Z156" i="2" s="1"/>
  <c r="P42" i="2" s="1"/>
  <c r="Q42" i="2" s="1"/>
  <c r="AH854" i="2"/>
  <c r="U857" i="2" s="1"/>
  <c r="Z860" i="2" s="1"/>
  <c r="P64" i="2" s="1"/>
  <c r="Q64" i="2" s="1"/>
  <c r="Z60" i="2"/>
  <c r="AH566" i="2"/>
  <c r="U569" i="2" s="1"/>
  <c r="Z572" i="2" s="1"/>
  <c r="P55" i="2" s="1"/>
  <c r="Q55" i="2" s="1"/>
  <c r="AH950" i="2"/>
  <c r="U953" i="2" s="1"/>
  <c r="Z956" i="2" s="1"/>
  <c r="P67" i="2" s="1"/>
  <c r="Q67" i="2" s="1"/>
  <c r="AH758" i="2"/>
  <c r="U761" i="2" s="1"/>
  <c r="Z764" i="2" s="1"/>
  <c r="P61" i="2" s="1"/>
  <c r="Q61" i="2" s="1"/>
  <c r="AH886" i="2"/>
  <c r="U889" i="2" s="1"/>
  <c r="Z892" i="2" s="1"/>
  <c r="P65" i="2" s="1"/>
  <c r="Q65" i="2" s="1"/>
  <c r="AH182" i="2"/>
  <c r="U185" i="2" s="1"/>
  <c r="Z188" i="2" s="1"/>
  <c r="P43" i="2" s="1"/>
  <c r="Q43" i="2" s="1"/>
  <c r="AH374" i="2"/>
  <c r="U377" i="2" s="1"/>
  <c r="Z380" i="2" s="1"/>
  <c r="P49" i="2" s="1"/>
  <c r="Q49" i="2" s="1"/>
  <c r="AH694" i="2"/>
  <c r="U697" i="2" s="1"/>
  <c r="Z700" i="2" s="1"/>
  <c r="P59" i="2" s="1"/>
  <c r="Q59" i="2" s="1"/>
  <c r="P39" i="2"/>
  <c r="Q39" i="2" s="1"/>
  <c r="AH630" i="2"/>
  <c r="U633" i="2" s="1"/>
  <c r="Z636" i="2" s="1"/>
  <c r="P57" i="2" s="1"/>
  <c r="Q57" i="2" s="1"/>
  <c r="AH406" i="2"/>
  <c r="U409" i="2" s="1"/>
  <c r="Z412" i="2" s="1"/>
  <c r="P50" i="2" s="1"/>
  <c r="Q50" i="2" s="1"/>
  <c r="AH278" i="2"/>
  <c r="U281" i="2" s="1"/>
  <c r="Z284" i="2" s="1"/>
  <c r="P46" i="2" s="1"/>
  <c r="Q46" i="2" s="1"/>
  <c r="AH790" i="2"/>
  <c r="U793" i="2" s="1"/>
  <c r="Z796" i="2" s="1"/>
  <c r="P62" i="2" s="1"/>
  <c r="Q62" i="2" s="1"/>
  <c r="AH310" i="2"/>
  <c r="U313" i="2" s="1"/>
  <c r="Z316" i="2" s="1"/>
  <c r="P47" i="2" s="1"/>
  <c r="Q47" i="2" s="1"/>
  <c r="AH246" i="2"/>
  <c r="U249" i="2" s="1"/>
  <c r="Z252" i="2" s="1"/>
  <c r="P45" i="2" s="1"/>
  <c r="Q45" i="2" s="1"/>
  <c r="AH438" i="2"/>
  <c r="U441" i="2" s="1"/>
  <c r="Z444" i="2" s="1"/>
  <c r="P51" i="2" s="1"/>
  <c r="Q51" i="2" s="1"/>
  <c r="AH342" i="2"/>
  <c r="U345" i="2" s="1"/>
  <c r="Z348" i="2" s="1"/>
  <c r="P48" i="2" s="1"/>
  <c r="Q48" i="2" s="1"/>
  <c r="AH662" i="2"/>
  <c r="U665" i="2" s="1"/>
  <c r="Z668" i="2" s="1"/>
  <c r="P58" i="2" s="1"/>
  <c r="Q58" i="2" s="1"/>
  <c r="AH726" i="2"/>
  <c r="U729" i="2" s="1"/>
  <c r="Z732" i="2" s="1"/>
  <c r="P60" i="2" s="1"/>
  <c r="Q60" i="2" s="1"/>
  <c r="Z26" i="2"/>
  <c r="Q30" i="2" s="1"/>
  <c r="Q31" i="2" s="1"/>
  <c r="AH598" i="2"/>
  <c r="U601" i="2" s="1"/>
  <c r="Z604" i="2" s="1"/>
  <c r="P56" i="2" s="1"/>
  <c r="Q56" i="2" s="1"/>
  <c r="AH918" i="2"/>
  <c r="U921" i="2" s="1"/>
  <c r="Z924" i="2" s="1"/>
  <c r="P66" i="2" s="1"/>
  <c r="Q66" i="2" s="1"/>
  <c r="AH470" i="2"/>
  <c r="U473" i="2" s="1"/>
  <c r="Z476" i="2" s="1"/>
  <c r="P52" i="2" s="1"/>
  <c r="Q52" i="2" s="1"/>
  <c r="AH86" i="2"/>
  <c r="U89" i="2" s="1"/>
  <c r="Z92" i="2" s="1"/>
  <c r="P40" i="2" s="1"/>
  <c r="Q40" i="2" s="1"/>
  <c r="P38" i="2" l="1"/>
  <c r="Q38" i="2" s="1"/>
</calcChain>
</file>

<file path=xl/sharedStrings.xml><?xml version="1.0" encoding="utf-8"?>
<sst xmlns="http://schemas.openxmlformats.org/spreadsheetml/2006/main" count="1362" uniqueCount="127">
  <si>
    <t>Gasoducto Palmillas - Toluca</t>
  </si>
  <si>
    <t xml:space="preserve">   Tejas  Gas de Toluca</t>
  </si>
  <si>
    <t>ESTUDIO ESTADÍSTICO DE CALIDAD DE GAS</t>
  </si>
  <si>
    <t>PUNTO DE MEDICION  :    TOLUCA</t>
  </si>
  <si>
    <t>PALMILLAS</t>
  </si>
  <si>
    <t xml:space="preserve">MES : </t>
  </si>
  <si>
    <t xml:space="preserve">DE: </t>
  </si>
  <si>
    <t>DIA</t>
  </si>
  <si>
    <t>PODER CALORIFICO (condición estándar)</t>
  </si>
  <si>
    <t>GRAVEDAD</t>
  </si>
  <si>
    <t>COMPOSICION    %  MOL.</t>
  </si>
  <si>
    <t>Indice de Wobbe*</t>
  </si>
  <si>
    <t>Indice Wobbe (MJ/m3) limites(45.8-50.6)</t>
  </si>
  <si>
    <t>H2S (ppm)*</t>
  </si>
  <si>
    <t>(S) Azufre Total (mg/m3)*</t>
  </si>
  <si>
    <t>O2 (%)*</t>
  </si>
  <si>
    <t>N2+ CO2 (%)*</t>
  </si>
  <si>
    <t>CONTENIDO DE LICUABLES A PARTIR DE PROPANO (C3+)* L/m3 gas</t>
  </si>
  <si>
    <t>No. De moles de Licuables</t>
  </si>
  <si>
    <t>Masa gr de Licuables</t>
  </si>
  <si>
    <t>Volumen Lt de Licuables</t>
  </si>
  <si>
    <t>kcal/m3</t>
  </si>
  <si>
    <t>ESPECIFICA</t>
  </si>
  <si>
    <t>C6 +</t>
  </si>
  <si>
    <t>PROPANO+</t>
  </si>
  <si>
    <t>I-BUTANO</t>
  </si>
  <si>
    <t>N-BUTANO</t>
  </si>
  <si>
    <t>I-PENTANO</t>
  </si>
  <si>
    <t>N-PENTANO</t>
  </si>
  <si>
    <t>N2</t>
  </si>
  <si>
    <t>METANO</t>
  </si>
  <si>
    <t>CO2</t>
  </si>
  <si>
    <t>ETANO</t>
  </si>
  <si>
    <t>Media (X)</t>
  </si>
  <si>
    <t>Valor Máximo</t>
  </si>
  <si>
    <t>Valor Mínimo</t>
  </si>
  <si>
    <t>Desv. Estándar</t>
  </si>
  <si>
    <t>Varianza</t>
  </si>
  <si>
    <t>Rango</t>
  </si>
  <si>
    <t>*</t>
  </si>
  <si>
    <t>Parámetros que marca la NOM-001-SECRE-2003</t>
  </si>
  <si>
    <t>P =</t>
  </si>
  <si>
    <t>atm</t>
  </si>
  <si>
    <t>Densidad (ac) g/lt</t>
  </si>
  <si>
    <t xml:space="preserve">R= </t>
  </si>
  <si>
    <t>lt*atm/mol°K</t>
  </si>
  <si>
    <t>Componente</t>
  </si>
  <si>
    <t>P.M.</t>
  </si>
  <si>
    <t>T =</t>
  </si>
  <si>
    <t>°K</t>
  </si>
  <si>
    <t>C1</t>
  </si>
  <si>
    <t>C2</t>
  </si>
  <si>
    <t>C3</t>
  </si>
  <si>
    <t>C4</t>
  </si>
  <si>
    <t>C5</t>
  </si>
  <si>
    <t>C6</t>
  </si>
  <si>
    <t>H2O (ppm)*</t>
  </si>
  <si>
    <t>Celdas bloqueadas</t>
  </si>
  <si>
    <t>No es necesario modificar ésta hoja.</t>
  </si>
  <si>
    <t>Cálculo de la Temperatura de Rocío con la ecuación de Peng-Robinson</t>
  </si>
  <si>
    <r>
      <t xml:space="preserve">Cálculo del parámetro  </t>
    </r>
    <r>
      <rPr>
        <b/>
        <sz val="9"/>
        <rFont val="Calibri"/>
        <family val="2"/>
      </rPr>
      <t>a=ΣΣ(yiyj )(aiaj) ̂0.5*(1-kij))</t>
    </r>
  </si>
  <si>
    <t>Propiedades Críticas</t>
  </si>
  <si>
    <r>
      <t xml:space="preserve">Cálculo de 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</rPr>
      <t>i</t>
    </r>
  </si>
  <si>
    <t>1-Kij</t>
  </si>
  <si>
    <t xml:space="preserve">Componente </t>
  </si>
  <si>
    <r>
      <t xml:space="preserve">Presión 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Kpa</t>
    </r>
  </si>
  <si>
    <t>Pc Pa</t>
  </si>
  <si>
    <t>Temperatura Tc °K</t>
  </si>
  <si>
    <r>
      <t xml:space="preserve">Factor acéntrico </t>
    </r>
    <r>
      <rPr>
        <sz val="11"/>
        <color theme="1"/>
        <rFont val="Calibri"/>
        <family val="2"/>
      </rPr>
      <t>ω</t>
    </r>
  </si>
  <si>
    <t xml:space="preserve"> ω2</t>
  </si>
  <si>
    <r>
      <t>(0.37464+1.54226w-0.26992w</t>
    </r>
    <r>
      <rPr>
        <vertAlign val="superscript"/>
        <sz val="11"/>
        <color theme="1"/>
        <rFont val="Calibri"/>
        <family val="2"/>
        <scheme val="minor"/>
      </rPr>
      <t>2)</t>
    </r>
  </si>
  <si>
    <t>(0.37464+1.54226w-0.26992w2)*1-(T/Tc)0.5= M</t>
  </si>
  <si>
    <t>(M+1)= N</t>
  </si>
  <si>
    <r>
      <rPr>
        <b/>
        <sz val="11"/>
        <color theme="1"/>
        <rFont val="Symbol"/>
        <family val="1"/>
        <charset val="2"/>
      </rPr>
      <t>a</t>
    </r>
    <r>
      <rPr>
        <b/>
        <vertAlign val="subscript"/>
        <sz val="11"/>
        <color theme="1"/>
        <rFont val="Calibri"/>
        <family val="2"/>
      </rPr>
      <t>i</t>
    </r>
  </si>
  <si>
    <t>ai</t>
  </si>
  <si>
    <t>bi</t>
  </si>
  <si>
    <t>yij</t>
  </si>
  <si>
    <t>b=Σyibi</t>
  </si>
  <si>
    <t>yiyj</t>
  </si>
  <si>
    <t>aiaj</t>
  </si>
  <si>
    <r>
      <t>(aiaj)</t>
    </r>
    <r>
      <rPr>
        <vertAlign val="superscript"/>
        <sz val="11"/>
        <color theme="1"/>
        <rFont val="Calibri"/>
        <family val="2"/>
        <scheme val="minor"/>
      </rPr>
      <t>0.5</t>
    </r>
  </si>
  <si>
    <t xml:space="preserve">PROPANO </t>
  </si>
  <si>
    <t>HEXANO</t>
  </si>
  <si>
    <t xml:space="preserve">Metano </t>
  </si>
  <si>
    <t xml:space="preserve">Etano </t>
  </si>
  <si>
    <t xml:space="preserve">Propano </t>
  </si>
  <si>
    <t xml:space="preserve">n-Butano </t>
  </si>
  <si>
    <t xml:space="preserve">Isobutano </t>
  </si>
  <si>
    <t xml:space="preserve">n-Pentano </t>
  </si>
  <si>
    <t xml:space="preserve">Isopentano </t>
  </si>
  <si>
    <t xml:space="preserve">n-Hexano </t>
  </si>
  <si>
    <t xml:space="preserve">Nitrógeno </t>
  </si>
  <si>
    <t xml:space="preserve">Dióxido de Carbono </t>
  </si>
  <si>
    <t>a</t>
  </si>
  <si>
    <t>Datos de calidad de Gas a ser ingresados</t>
  </si>
  <si>
    <t>Presión</t>
  </si>
  <si>
    <t>Temperatura</t>
  </si>
  <si>
    <t>Kg/cm2</t>
  </si>
  <si>
    <t>°C</t>
  </si>
  <si>
    <t>Conclusión datos:</t>
  </si>
  <si>
    <t>a=</t>
  </si>
  <si>
    <t>adimensional</t>
  </si>
  <si>
    <t>Ecuación de Peng -Robinson</t>
  </si>
  <si>
    <t>b=</t>
  </si>
  <si>
    <t>R=</t>
  </si>
  <si>
    <t>(J/mol°K)</t>
  </si>
  <si>
    <t>P=</t>
  </si>
  <si>
    <t>Pa</t>
  </si>
  <si>
    <t>T=</t>
  </si>
  <si>
    <t>?</t>
  </si>
  <si>
    <t>K</t>
  </si>
  <si>
    <t>despejando T queda:</t>
  </si>
  <si>
    <t>V*=</t>
  </si>
  <si>
    <t>m3/mol</t>
  </si>
  <si>
    <t xml:space="preserve">T rocío= </t>
  </si>
  <si>
    <t>Trocío=</t>
  </si>
  <si>
    <t>Z=</t>
  </si>
  <si>
    <t>Pascales</t>
  </si>
  <si>
    <t>T</t>
  </si>
  <si>
    <t>Trocío  °K</t>
  </si>
  <si>
    <t>Trocío  °C</t>
  </si>
  <si>
    <t>V= ZRT/P</t>
  </si>
  <si>
    <t>Parámetros de interacción binaria</t>
  </si>
  <si>
    <r>
      <t>T/Tc</t>
    </r>
    <r>
      <rPr>
        <vertAlign val="subscript"/>
        <sz val="10"/>
        <color theme="1"/>
        <rFont val="Calibri"/>
        <family val="2"/>
        <scheme val="minor"/>
      </rPr>
      <t>i</t>
    </r>
  </si>
  <si>
    <r>
      <t>(T/Tc)</t>
    </r>
    <r>
      <rPr>
        <vertAlign val="superscript"/>
        <sz val="11"/>
        <color theme="1"/>
        <rFont val="Calibri"/>
        <family val="2"/>
        <scheme val="minor"/>
      </rPr>
      <t>0.5</t>
    </r>
  </si>
  <si>
    <r>
      <t>1-(T/Tc)</t>
    </r>
    <r>
      <rPr>
        <vertAlign val="superscript"/>
        <sz val="11"/>
        <color theme="1"/>
        <rFont val="Calibri"/>
        <family val="2"/>
        <scheme val="minor"/>
      </rPr>
      <t>0.5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</si>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</sst>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0"/>
    <numFmt numFmtId="166" formatCode="0.0"/>
    <numFmt numFmtId="167" formatCode="0.0000000"/>
    <numFmt numFmtId="168" formatCode="0.000"/>
    <numFmt numFmtId="169" formatCode="0.000000000"/>
  </numFmts>
  <fonts count="4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Monotype Corsiva"/>
      <family val="4"/>
    </font>
    <font>
      <b/>
      <sz val="2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7"/>
      <name val="Arial"/>
      <family val="2"/>
    </font>
    <font>
      <b/>
      <sz val="14"/>
      <name val="Georgia"/>
      <family val="1"/>
    </font>
    <font>
      <b/>
      <sz val="14"/>
      <name val="Arial"/>
      <family val="2"/>
    </font>
    <font>
      <sz val="14"/>
      <name val="Georgia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9"/>
      <color indexed="22"/>
      <name val="Arial"/>
      <family val="2"/>
    </font>
    <font>
      <sz val="8"/>
      <color indexed="56"/>
      <name val="Arial"/>
      <family val="2"/>
    </font>
    <font>
      <b/>
      <sz val="8"/>
      <color indexed="18"/>
      <name val="Arial"/>
      <family val="2"/>
    </font>
    <font>
      <sz val="9"/>
      <name val="MS Sans Serif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9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applyFont="1" applyAlignment="1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Border="1" applyAlignment="1">
      <alignment horizontal="center"/>
    </xf>
    <xf numFmtId="0" fontId="11" fillId="3" borderId="6" xfId="0" applyFont="1" applyFill="1" applyBorder="1" applyAlignment="1">
      <alignment horizontal="centerContinuous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Continuous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14" fillId="4" borderId="8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2" fillId="0" borderId="24" xfId="0" applyNumberFormat="1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5" fontId="16" fillId="5" borderId="8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0" fillId="0" borderId="0" xfId="0" applyFill="1"/>
    <xf numFmtId="164" fontId="17" fillId="0" borderId="0" xfId="0" applyNumberFormat="1" applyFont="1" applyFill="1" applyBorder="1" applyAlignment="1">
      <alignment horizontal="left"/>
    </xf>
    <xf numFmtId="165" fontId="16" fillId="5" borderId="0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18" fillId="0" borderId="0" xfId="0" applyNumberFormat="1" applyFont="1"/>
    <xf numFmtId="164" fontId="2" fillId="6" borderId="25" xfId="0" applyNumberFormat="1" applyFont="1" applyFill="1" applyBorder="1" applyAlignment="1">
      <alignment horizontal="right"/>
    </xf>
    <xf numFmtId="166" fontId="2" fillId="6" borderId="25" xfId="0" applyNumberFormat="1" applyFont="1" applyFill="1" applyBorder="1" applyAlignment="1">
      <alignment horizontal="left"/>
    </xf>
    <xf numFmtId="164" fontId="2" fillId="6" borderId="25" xfId="0" applyNumberFormat="1" applyFont="1" applyFill="1" applyBorder="1"/>
    <xf numFmtId="164" fontId="19" fillId="6" borderId="25" xfId="0" applyNumberFormat="1" applyFont="1" applyFill="1" applyBorder="1"/>
    <xf numFmtId="164" fontId="19" fillId="0" borderId="0" xfId="0" applyNumberFormat="1" applyFont="1"/>
    <xf numFmtId="164" fontId="2" fillId="6" borderId="25" xfId="0" applyNumberFormat="1" applyFont="1" applyFill="1" applyBorder="1" applyAlignment="1">
      <alignment horizontal="left"/>
    </xf>
    <xf numFmtId="0" fontId="2" fillId="6" borderId="25" xfId="0" applyFont="1" applyFill="1" applyBorder="1"/>
    <xf numFmtId="164" fontId="11" fillId="6" borderId="25" xfId="0" applyNumberFormat="1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164" fontId="6" fillId="6" borderId="25" xfId="0" applyNumberFormat="1" applyFont="1" applyFill="1" applyBorder="1"/>
    <xf numFmtId="0" fontId="18" fillId="0" borderId="0" xfId="0" applyFont="1" applyFill="1"/>
    <xf numFmtId="0" fontId="0" fillId="0" borderId="0" xfId="0" applyAlignment="1">
      <alignment horizontal="left"/>
    </xf>
    <xf numFmtId="0" fontId="23" fillId="0" borderId="0" xfId="0" applyFont="1" applyFill="1"/>
    <xf numFmtId="0" fontId="24" fillId="0" borderId="0" xfId="0" applyFont="1"/>
    <xf numFmtId="0" fontId="0" fillId="7" borderId="29" xfId="0" applyFill="1" applyBorder="1"/>
    <xf numFmtId="0" fontId="0" fillId="7" borderId="31" xfId="0" applyFill="1" applyBorder="1" applyAlignment="1">
      <alignment horizontal="center"/>
    </xf>
    <xf numFmtId="0" fontId="0" fillId="7" borderId="31" xfId="0" applyFill="1" applyBorder="1"/>
    <xf numFmtId="0" fontId="32" fillId="7" borderId="31" xfId="0" applyFont="1" applyFill="1" applyBorder="1" applyAlignment="1">
      <alignment horizontal="center"/>
    </xf>
    <xf numFmtId="0" fontId="33" fillId="7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35" fillId="7" borderId="31" xfId="0" applyFont="1" applyFill="1" applyBorder="1" applyAlignment="1">
      <alignment horizontal="center"/>
    </xf>
    <xf numFmtId="0" fontId="35" fillId="7" borderId="32" xfId="0" applyFont="1" applyFill="1" applyBorder="1" applyAlignment="1">
      <alignment horizontal="center"/>
    </xf>
    <xf numFmtId="0" fontId="36" fillId="7" borderId="33" xfId="0" applyFont="1" applyFill="1" applyBorder="1" applyAlignment="1">
      <alignment vertical="top" wrapText="1"/>
    </xf>
    <xf numFmtId="0" fontId="36" fillId="7" borderId="8" xfId="0" applyFont="1" applyFill="1" applyBorder="1" applyAlignment="1">
      <alignment vertical="top" wrapText="1"/>
    </xf>
    <xf numFmtId="167" fontId="36" fillId="7" borderId="8" xfId="0" applyNumberFormat="1" applyFont="1" applyFill="1" applyBorder="1" applyAlignment="1">
      <alignment vertical="top" wrapText="1"/>
    </xf>
    <xf numFmtId="0" fontId="0" fillId="7" borderId="8" xfId="0" applyFill="1" applyBorder="1"/>
    <xf numFmtId="0" fontId="0" fillId="7" borderId="8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/>
    <xf numFmtId="0" fontId="0" fillId="7" borderId="36" xfId="0" applyFill="1" applyBorder="1"/>
    <xf numFmtId="0" fontId="21" fillId="7" borderId="37" xfId="0" applyFont="1" applyFill="1" applyBorder="1" applyAlignment="1">
      <alignment horizontal="center"/>
    </xf>
    <xf numFmtId="0" fontId="21" fillId="7" borderId="37" xfId="0" applyFont="1" applyFill="1" applyBorder="1"/>
    <xf numFmtId="0" fontId="0" fillId="7" borderId="37" xfId="0" applyFill="1" applyBorder="1" applyAlignment="1">
      <alignment horizontal="center"/>
    </xf>
    <xf numFmtId="0" fontId="21" fillId="7" borderId="38" xfId="0" applyFont="1" applyFill="1" applyBorder="1" applyAlignment="1">
      <alignment horizontal="center"/>
    </xf>
    <xf numFmtId="0" fontId="21" fillId="0" borderId="0" xfId="0" applyFont="1"/>
    <xf numFmtId="0" fontId="37" fillId="0" borderId="0" xfId="0" applyFont="1"/>
    <xf numFmtId="0" fontId="11" fillId="7" borderId="6" xfId="0" applyFont="1" applyFill="1" applyBorder="1" applyAlignment="1">
      <alignment horizontal="centerContinuous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Continuous" vertical="center"/>
    </xf>
    <xf numFmtId="0" fontId="11" fillId="7" borderId="30" xfId="0" applyFont="1" applyFill="1" applyBorder="1" applyAlignment="1">
      <alignment horizontal="centerContinuous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21" fillId="8" borderId="29" xfId="0" applyFont="1" applyFill="1" applyBorder="1"/>
    <xf numFmtId="0" fontId="0" fillId="8" borderId="7" xfId="0" applyFill="1" applyBorder="1"/>
    <xf numFmtId="0" fontId="0" fillId="8" borderId="30" xfId="0" applyFill="1" applyBorder="1"/>
    <xf numFmtId="165" fontId="12" fillId="7" borderId="40" xfId="0" applyNumberFormat="1" applyFont="1" applyFill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/>
    </xf>
    <xf numFmtId="0" fontId="38" fillId="7" borderId="41" xfId="0" applyFont="1" applyFill="1" applyBorder="1" applyAlignment="1">
      <alignment horizontal="center"/>
    </xf>
    <xf numFmtId="0" fontId="39" fillId="7" borderId="0" xfId="0" applyFont="1" applyFill="1" applyBorder="1" applyAlignment="1">
      <alignment horizontal="center"/>
    </xf>
    <xf numFmtId="0" fontId="40" fillId="7" borderId="0" xfId="0" applyFont="1" applyFill="1" applyBorder="1"/>
    <xf numFmtId="0" fontId="0" fillId="7" borderId="0" xfId="0" applyFill="1" applyBorder="1"/>
    <xf numFmtId="0" fontId="0" fillId="7" borderId="42" xfId="0" applyFill="1" applyBorder="1"/>
    <xf numFmtId="1" fontId="41" fillId="7" borderId="43" xfId="0" applyNumberFormat="1" applyFont="1" applyFill="1" applyBorder="1" applyAlignment="1">
      <alignment horizontal="center"/>
    </xf>
    <xf numFmtId="168" fontId="41" fillId="7" borderId="44" xfId="0" applyNumberFormat="1" applyFont="1" applyFill="1" applyBorder="1" applyAlignment="1">
      <alignment horizontal="center"/>
    </xf>
    <xf numFmtId="169" fontId="41" fillId="7" borderId="44" xfId="0" applyNumberFormat="1" applyFont="1" applyFill="1" applyBorder="1"/>
    <xf numFmtId="0" fontId="21" fillId="8" borderId="0" xfId="0" applyFont="1" applyFill="1"/>
    <xf numFmtId="0" fontId="0" fillId="8" borderId="0" xfId="0" applyFill="1"/>
    <xf numFmtId="0" fontId="39" fillId="7" borderId="0" xfId="0" applyFont="1" applyFill="1" applyBorder="1"/>
    <xf numFmtId="1" fontId="41" fillId="7" borderId="45" xfId="0" applyNumberFormat="1" applyFont="1" applyFill="1" applyBorder="1" applyAlignment="1">
      <alignment horizontal="center"/>
    </xf>
    <xf numFmtId="168" fontId="41" fillId="7" borderId="9" xfId="0" applyNumberFormat="1" applyFont="1" applyFill="1" applyBorder="1" applyAlignment="1">
      <alignment horizontal="center"/>
    </xf>
    <xf numFmtId="0" fontId="0" fillId="7" borderId="0" xfId="0" applyFill="1"/>
    <xf numFmtId="164" fontId="39" fillId="7" borderId="0" xfId="0" applyNumberFormat="1" applyFont="1" applyFill="1" applyBorder="1" applyAlignment="1">
      <alignment horizontal="center"/>
    </xf>
    <xf numFmtId="0" fontId="39" fillId="7" borderId="0" xfId="0" applyFont="1" applyFill="1" applyBorder="1" applyAlignment="1">
      <alignment horizontal="left"/>
    </xf>
    <xf numFmtId="0" fontId="0" fillId="7" borderId="41" xfId="0" applyFill="1" applyBorder="1"/>
    <xf numFmtId="0" fontId="21" fillId="7" borderId="0" xfId="0" applyFont="1" applyFill="1"/>
    <xf numFmtId="164" fontId="0" fillId="7" borderId="0" xfId="0" applyNumberFormat="1" applyFill="1" applyBorder="1"/>
    <xf numFmtId="0" fontId="21" fillId="7" borderId="0" xfId="0" applyFont="1" applyFill="1" applyAlignment="1">
      <alignment horizontal="center"/>
    </xf>
    <xf numFmtId="0" fontId="0" fillId="7" borderId="46" xfId="0" applyFill="1" applyBorder="1"/>
    <xf numFmtId="0" fontId="0" fillId="0" borderId="0" xfId="0" applyFill="1" applyBorder="1"/>
    <xf numFmtId="0" fontId="0" fillId="7" borderId="47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168" fontId="41" fillId="7" borderId="37" xfId="0" applyNumberFormat="1" applyFont="1" applyFill="1" applyBorder="1" applyAlignment="1">
      <alignment horizontal="center"/>
    </xf>
    <xf numFmtId="0" fontId="21" fillId="7" borderId="48" xfId="0" applyFont="1" applyFill="1" applyBorder="1" applyAlignment="1">
      <alignment horizontal="center"/>
    </xf>
    <xf numFmtId="0" fontId="0" fillId="7" borderId="47" xfId="0" applyFill="1" applyBorder="1"/>
    <xf numFmtId="0" fontId="21" fillId="7" borderId="32" xfId="0" applyFont="1" applyFill="1" applyBorder="1" applyAlignment="1">
      <alignment horizontal="center"/>
    </xf>
    <xf numFmtId="0" fontId="21" fillId="7" borderId="33" xfId="0" applyFont="1" applyFill="1" applyBorder="1"/>
    <xf numFmtId="0" fontId="0" fillId="7" borderId="34" xfId="0" applyFill="1" applyBorder="1"/>
    <xf numFmtId="0" fontId="21" fillId="7" borderId="48" xfId="0" applyFont="1" applyFill="1" applyBorder="1"/>
    <xf numFmtId="0" fontId="0" fillId="7" borderId="37" xfId="0" applyFill="1" applyBorder="1"/>
    <xf numFmtId="0" fontId="0" fillId="7" borderId="38" xfId="0" applyFill="1" applyBorder="1"/>
    <xf numFmtId="0" fontId="42" fillId="0" borderId="0" xfId="0" applyFont="1" applyFill="1"/>
    <xf numFmtId="164" fontId="0" fillId="0" borderId="0" xfId="0" applyNumberFormat="1" applyFill="1" applyBorder="1"/>
    <xf numFmtId="0" fontId="21" fillId="7" borderId="8" xfId="0" applyFont="1" applyFill="1" applyBorder="1" applyAlignment="1">
      <alignment horizontal="center"/>
    </xf>
    <xf numFmtId="0" fontId="35" fillId="7" borderId="20" xfId="0" applyFont="1" applyFill="1" applyBorder="1" applyAlignment="1">
      <alignment horizontal="center"/>
    </xf>
    <xf numFmtId="0" fontId="35" fillId="7" borderId="21" xfId="0" applyFont="1" applyFill="1" applyBorder="1" applyAlignment="1">
      <alignment horizontal="center"/>
    </xf>
    <xf numFmtId="0" fontId="21" fillId="7" borderId="8" xfId="0" applyFont="1" applyFill="1" applyBorder="1"/>
    <xf numFmtId="0" fontId="21" fillId="7" borderId="29" xfId="0" applyFont="1" applyFill="1" applyBorder="1"/>
    <xf numFmtId="0" fontId="0" fillId="7" borderId="7" xfId="0" applyFill="1" applyBorder="1"/>
    <xf numFmtId="0" fontId="0" fillId="7" borderId="30" xfId="0" applyFill="1" applyBorder="1"/>
    <xf numFmtId="0" fontId="38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40" fillId="7" borderId="0" xfId="0" applyFont="1" applyFill="1"/>
    <xf numFmtId="0" fontId="39" fillId="7" borderId="0" xfId="0" applyFont="1" applyFill="1"/>
    <xf numFmtId="164" fontId="39" fillId="7" borderId="0" xfId="0" applyNumberFormat="1" applyFont="1" applyFill="1" applyAlignment="1">
      <alignment horizontal="center"/>
    </xf>
    <xf numFmtId="0" fontId="39" fillId="7" borderId="0" xfId="0" applyFont="1" applyFill="1" applyAlignment="1">
      <alignment horizontal="left"/>
    </xf>
    <xf numFmtId="164" fontId="0" fillId="7" borderId="0" xfId="0" applyNumberFormat="1" applyFill="1"/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40" fillId="0" borderId="0" xfId="0" applyFont="1" applyFill="1" applyBorder="1"/>
    <xf numFmtId="164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169" fontId="0" fillId="7" borderId="8" xfId="0" applyNumberFormat="1" applyFill="1" applyBorder="1" applyAlignment="1">
      <alignment horizontal="center"/>
    </xf>
    <xf numFmtId="0" fontId="36" fillId="7" borderId="8" xfId="0" applyFont="1" applyFill="1" applyBorder="1" applyAlignment="1">
      <alignment vertical="center" wrapText="1"/>
    </xf>
    <xf numFmtId="167" fontId="36" fillId="7" borderId="8" xfId="0" applyNumberFormat="1" applyFont="1" applyFill="1" applyBorder="1" applyAlignment="1">
      <alignment vertical="center" wrapText="1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169" fontId="0" fillId="7" borderId="8" xfId="0" applyNumberFormat="1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25" fillId="8" borderId="26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0" fontId="25" fillId="8" borderId="28" xfId="0" applyFont="1" applyFill="1" applyBorder="1" applyAlignment="1">
      <alignment horizontal="center"/>
    </xf>
    <xf numFmtId="0" fontId="21" fillId="8" borderId="29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8" borderId="30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32" fillId="7" borderId="31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1" fillId="8" borderId="49" xfId="0" applyFont="1" applyFill="1" applyBorder="1" applyAlignment="1">
      <alignment horizontal="center"/>
    </xf>
    <xf numFmtId="0" fontId="21" fillId="8" borderId="50" xfId="0" applyFont="1" applyFill="1" applyBorder="1" applyAlignment="1">
      <alignment horizontal="center"/>
    </xf>
    <xf numFmtId="0" fontId="21" fillId="8" borderId="5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4" fontId="11" fillId="6" borderId="25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25</xdr:row>
      <xdr:rowOff>0</xdr:rowOff>
    </xdr:from>
    <xdr:to>
      <xdr:col>17</xdr:col>
      <xdr:colOff>219074</xdr:colOff>
      <xdr:row>27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97025" y="5286375"/>
          <a:ext cx="1895474" cy="4000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23</xdr:row>
      <xdr:rowOff>38100</xdr:rowOff>
    </xdr:from>
    <xdr:to>
      <xdr:col>24</xdr:col>
      <xdr:colOff>762000</xdr:colOff>
      <xdr:row>23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4943475"/>
          <a:ext cx="1038225" cy="152400"/>
        </a:xfrm>
        <a:prstGeom prst="rect">
          <a:avLst/>
        </a:prstGeom>
        <a:solidFill>
          <a:schemeClr val="bg2">
            <a:lumMod val="50000"/>
          </a:schemeClr>
        </a:solidFill>
      </xdr:spPr>
    </xdr:pic>
    <xdr:clientData/>
  </xdr:twoCellAnchor>
  <xdr:twoCellAnchor editAs="oneCell">
    <xdr:from>
      <xdr:col>24</xdr:col>
      <xdr:colOff>28576</xdr:colOff>
      <xdr:row>24</xdr:row>
      <xdr:rowOff>123825</xdr:rowOff>
    </xdr:from>
    <xdr:to>
      <xdr:col>24</xdr:col>
      <xdr:colOff>762001</xdr:colOff>
      <xdr:row>26</xdr:row>
      <xdr:rowOff>76200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52197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27</xdr:row>
      <xdr:rowOff>80421</xdr:rowOff>
    </xdr:from>
    <xdr:to>
      <xdr:col>24</xdr:col>
      <xdr:colOff>381000</xdr:colOff>
      <xdr:row>28</xdr:row>
      <xdr:rowOff>20256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57477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57</xdr:row>
      <xdr:rowOff>38100</xdr:rowOff>
    </xdr:from>
    <xdr:to>
      <xdr:col>24</xdr:col>
      <xdr:colOff>762000</xdr:colOff>
      <xdr:row>58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15157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58</xdr:row>
      <xdr:rowOff>123825</xdr:rowOff>
    </xdr:from>
    <xdr:to>
      <xdr:col>24</xdr:col>
      <xdr:colOff>762001</xdr:colOff>
      <xdr:row>60</xdr:row>
      <xdr:rowOff>95250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17919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61</xdr:row>
      <xdr:rowOff>80421</xdr:rowOff>
    </xdr:from>
    <xdr:to>
      <xdr:col>24</xdr:col>
      <xdr:colOff>381000</xdr:colOff>
      <xdr:row>62</xdr:row>
      <xdr:rowOff>29781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23200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89</xdr:row>
      <xdr:rowOff>38100</xdr:rowOff>
    </xdr:from>
    <xdr:to>
      <xdr:col>24</xdr:col>
      <xdr:colOff>762000</xdr:colOff>
      <xdr:row>90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77069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90</xdr:row>
      <xdr:rowOff>123825</xdr:rowOff>
    </xdr:from>
    <xdr:to>
      <xdr:col>24</xdr:col>
      <xdr:colOff>762001</xdr:colOff>
      <xdr:row>92</xdr:row>
      <xdr:rowOff>95250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79832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93</xdr:row>
      <xdr:rowOff>80421</xdr:rowOff>
    </xdr:from>
    <xdr:to>
      <xdr:col>24</xdr:col>
      <xdr:colOff>381000</xdr:colOff>
      <xdr:row>94</xdr:row>
      <xdr:rowOff>29781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85112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121</xdr:row>
      <xdr:rowOff>38100</xdr:rowOff>
    </xdr:from>
    <xdr:to>
      <xdr:col>24</xdr:col>
      <xdr:colOff>762000</xdr:colOff>
      <xdr:row>122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238696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122</xdr:row>
      <xdr:rowOff>123825</xdr:rowOff>
    </xdr:from>
    <xdr:to>
      <xdr:col>24</xdr:col>
      <xdr:colOff>762001</xdr:colOff>
      <xdr:row>124</xdr:row>
      <xdr:rowOff>95250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241458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125</xdr:row>
      <xdr:rowOff>80421</xdr:rowOff>
    </xdr:from>
    <xdr:to>
      <xdr:col>24</xdr:col>
      <xdr:colOff>381000</xdr:colOff>
      <xdr:row>126</xdr:row>
      <xdr:rowOff>29781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246739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153</xdr:row>
      <xdr:rowOff>38100</xdr:rowOff>
    </xdr:from>
    <xdr:to>
      <xdr:col>24</xdr:col>
      <xdr:colOff>762000</xdr:colOff>
      <xdr:row>154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300228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154</xdr:row>
      <xdr:rowOff>123825</xdr:rowOff>
    </xdr:from>
    <xdr:to>
      <xdr:col>24</xdr:col>
      <xdr:colOff>762001</xdr:colOff>
      <xdr:row>156</xdr:row>
      <xdr:rowOff>95250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302990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157</xdr:row>
      <xdr:rowOff>80421</xdr:rowOff>
    </xdr:from>
    <xdr:to>
      <xdr:col>24</xdr:col>
      <xdr:colOff>381000</xdr:colOff>
      <xdr:row>158</xdr:row>
      <xdr:rowOff>29781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308271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185</xdr:row>
      <xdr:rowOff>38100</xdr:rowOff>
    </xdr:from>
    <xdr:to>
      <xdr:col>24</xdr:col>
      <xdr:colOff>762000</xdr:colOff>
      <xdr:row>186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361664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186</xdr:row>
      <xdr:rowOff>123825</xdr:rowOff>
    </xdr:from>
    <xdr:to>
      <xdr:col>24</xdr:col>
      <xdr:colOff>762001</xdr:colOff>
      <xdr:row>188</xdr:row>
      <xdr:rowOff>95250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364426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189</xdr:row>
      <xdr:rowOff>80421</xdr:rowOff>
    </xdr:from>
    <xdr:to>
      <xdr:col>24</xdr:col>
      <xdr:colOff>381000</xdr:colOff>
      <xdr:row>190</xdr:row>
      <xdr:rowOff>29781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369707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217</xdr:row>
      <xdr:rowOff>38100</xdr:rowOff>
    </xdr:from>
    <xdr:to>
      <xdr:col>24</xdr:col>
      <xdr:colOff>762000</xdr:colOff>
      <xdr:row>218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423100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218</xdr:row>
      <xdr:rowOff>123825</xdr:rowOff>
    </xdr:from>
    <xdr:to>
      <xdr:col>24</xdr:col>
      <xdr:colOff>762001</xdr:colOff>
      <xdr:row>220</xdr:row>
      <xdr:rowOff>95250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425862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221</xdr:row>
      <xdr:rowOff>80421</xdr:rowOff>
    </xdr:from>
    <xdr:to>
      <xdr:col>24</xdr:col>
      <xdr:colOff>381000</xdr:colOff>
      <xdr:row>222</xdr:row>
      <xdr:rowOff>29781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431143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249</xdr:row>
      <xdr:rowOff>38100</xdr:rowOff>
    </xdr:from>
    <xdr:to>
      <xdr:col>24</xdr:col>
      <xdr:colOff>762000</xdr:colOff>
      <xdr:row>250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484536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250</xdr:row>
      <xdr:rowOff>123825</xdr:rowOff>
    </xdr:from>
    <xdr:to>
      <xdr:col>24</xdr:col>
      <xdr:colOff>762001</xdr:colOff>
      <xdr:row>252</xdr:row>
      <xdr:rowOff>95250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487299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253</xdr:row>
      <xdr:rowOff>80421</xdr:rowOff>
    </xdr:from>
    <xdr:to>
      <xdr:col>24</xdr:col>
      <xdr:colOff>381000</xdr:colOff>
      <xdr:row>254</xdr:row>
      <xdr:rowOff>29781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492579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281</xdr:row>
      <xdr:rowOff>38100</xdr:rowOff>
    </xdr:from>
    <xdr:to>
      <xdr:col>24</xdr:col>
      <xdr:colOff>762000</xdr:colOff>
      <xdr:row>282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545973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282</xdr:row>
      <xdr:rowOff>123825</xdr:rowOff>
    </xdr:from>
    <xdr:to>
      <xdr:col>24</xdr:col>
      <xdr:colOff>762001</xdr:colOff>
      <xdr:row>284</xdr:row>
      <xdr:rowOff>95250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548735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285</xdr:row>
      <xdr:rowOff>80421</xdr:rowOff>
    </xdr:from>
    <xdr:to>
      <xdr:col>24</xdr:col>
      <xdr:colOff>381000</xdr:colOff>
      <xdr:row>286</xdr:row>
      <xdr:rowOff>29781</xdr:rowOff>
    </xdr:to>
    <xdr:pic>
      <xdr:nvPicPr>
        <xdr:cNvPr id="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554016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313</xdr:row>
      <xdr:rowOff>38100</xdr:rowOff>
    </xdr:from>
    <xdr:to>
      <xdr:col>24</xdr:col>
      <xdr:colOff>762000</xdr:colOff>
      <xdr:row>314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607409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314</xdr:row>
      <xdr:rowOff>123825</xdr:rowOff>
    </xdr:from>
    <xdr:to>
      <xdr:col>24</xdr:col>
      <xdr:colOff>762001</xdr:colOff>
      <xdr:row>316</xdr:row>
      <xdr:rowOff>95250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610171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317</xdr:row>
      <xdr:rowOff>80421</xdr:rowOff>
    </xdr:from>
    <xdr:to>
      <xdr:col>24</xdr:col>
      <xdr:colOff>381000</xdr:colOff>
      <xdr:row>318</xdr:row>
      <xdr:rowOff>29781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615452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345</xdr:row>
      <xdr:rowOff>38100</xdr:rowOff>
    </xdr:from>
    <xdr:to>
      <xdr:col>24</xdr:col>
      <xdr:colOff>762000</xdr:colOff>
      <xdr:row>346</xdr:row>
      <xdr:rowOff>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668845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346</xdr:row>
      <xdr:rowOff>123825</xdr:rowOff>
    </xdr:from>
    <xdr:to>
      <xdr:col>24</xdr:col>
      <xdr:colOff>762001</xdr:colOff>
      <xdr:row>348</xdr:row>
      <xdr:rowOff>95250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671607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349</xdr:row>
      <xdr:rowOff>80421</xdr:rowOff>
    </xdr:from>
    <xdr:to>
      <xdr:col>24</xdr:col>
      <xdr:colOff>381000</xdr:colOff>
      <xdr:row>350</xdr:row>
      <xdr:rowOff>29781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676888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377</xdr:row>
      <xdr:rowOff>38100</xdr:rowOff>
    </xdr:from>
    <xdr:to>
      <xdr:col>24</xdr:col>
      <xdr:colOff>762000</xdr:colOff>
      <xdr:row>378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730281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378</xdr:row>
      <xdr:rowOff>123825</xdr:rowOff>
    </xdr:from>
    <xdr:to>
      <xdr:col>24</xdr:col>
      <xdr:colOff>762001</xdr:colOff>
      <xdr:row>380</xdr:row>
      <xdr:rowOff>95250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733044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381</xdr:row>
      <xdr:rowOff>80421</xdr:rowOff>
    </xdr:from>
    <xdr:to>
      <xdr:col>24</xdr:col>
      <xdr:colOff>381000</xdr:colOff>
      <xdr:row>382</xdr:row>
      <xdr:rowOff>29781</xdr:rowOff>
    </xdr:to>
    <xdr:pic>
      <xdr:nvPicPr>
        <xdr:cNvPr id="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738324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409</xdr:row>
      <xdr:rowOff>38100</xdr:rowOff>
    </xdr:from>
    <xdr:to>
      <xdr:col>24</xdr:col>
      <xdr:colOff>762000</xdr:colOff>
      <xdr:row>410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791718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410</xdr:row>
      <xdr:rowOff>123825</xdr:rowOff>
    </xdr:from>
    <xdr:to>
      <xdr:col>24</xdr:col>
      <xdr:colOff>762001</xdr:colOff>
      <xdr:row>412</xdr:row>
      <xdr:rowOff>95250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794480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413</xdr:row>
      <xdr:rowOff>80421</xdr:rowOff>
    </xdr:from>
    <xdr:to>
      <xdr:col>24</xdr:col>
      <xdr:colOff>381000</xdr:colOff>
      <xdr:row>414</xdr:row>
      <xdr:rowOff>29781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799761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441</xdr:row>
      <xdr:rowOff>38100</xdr:rowOff>
    </xdr:from>
    <xdr:to>
      <xdr:col>24</xdr:col>
      <xdr:colOff>762000</xdr:colOff>
      <xdr:row>442</xdr:row>
      <xdr:rowOff>0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853154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442</xdr:row>
      <xdr:rowOff>123825</xdr:rowOff>
    </xdr:from>
    <xdr:to>
      <xdr:col>24</xdr:col>
      <xdr:colOff>762001</xdr:colOff>
      <xdr:row>444</xdr:row>
      <xdr:rowOff>95250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855916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445</xdr:row>
      <xdr:rowOff>80421</xdr:rowOff>
    </xdr:from>
    <xdr:to>
      <xdr:col>24</xdr:col>
      <xdr:colOff>381000</xdr:colOff>
      <xdr:row>446</xdr:row>
      <xdr:rowOff>29781</xdr:rowOff>
    </xdr:to>
    <xdr:pic>
      <xdr:nvPicPr>
        <xdr:cNvPr id="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861197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473</xdr:row>
      <xdr:rowOff>38100</xdr:rowOff>
    </xdr:from>
    <xdr:to>
      <xdr:col>24</xdr:col>
      <xdr:colOff>762000</xdr:colOff>
      <xdr:row>474</xdr:row>
      <xdr:rowOff>0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914590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474</xdr:row>
      <xdr:rowOff>123825</xdr:rowOff>
    </xdr:from>
    <xdr:to>
      <xdr:col>24</xdr:col>
      <xdr:colOff>762001</xdr:colOff>
      <xdr:row>476</xdr:row>
      <xdr:rowOff>95250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917352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477</xdr:row>
      <xdr:rowOff>80421</xdr:rowOff>
    </xdr:from>
    <xdr:to>
      <xdr:col>24</xdr:col>
      <xdr:colOff>381000</xdr:colOff>
      <xdr:row>478</xdr:row>
      <xdr:rowOff>29781</xdr:rowOff>
    </xdr:to>
    <xdr:pic>
      <xdr:nvPicPr>
        <xdr:cNvPr id="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922633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505</xdr:row>
      <xdr:rowOff>38100</xdr:rowOff>
    </xdr:from>
    <xdr:to>
      <xdr:col>24</xdr:col>
      <xdr:colOff>762000</xdr:colOff>
      <xdr:row>506</xdr:row>
      <xdr:rowOff>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976026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506</xdr:row>
      <xdr:rowOff>123825</xdr:rowOff>
    </xdr:from>
    <xdr:to>
      <xdr:col>24</xdr:col>
      <xdr:colOff>762001</xdr:colOff>
      <xdr:row>508</xdr:row>
      <xdr:rowOff>95250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978789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509</xdr:row>
      <xdr:rowOff>80421</xdr:rowOff>
    </xdr:from>
    <xdr:to>
      <xdr:col>24</xdr:col>
      <xdr:colOff>381000</xdr:colOff>
      <xdr:row>510</xdr:row>
      <xdr:rowOff>29781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984069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537</xdr:row>
      <xdr:rowOff>38100</xdr:rowOff>
    </xdr:from>
    <xdr:to>
      <xdr:col>24</xdr:col>
      <xdr:colOff>762000</xdr:colOff>
      <xdr:row>538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037463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538</xdr:row>
      <xdr:rowOff>123825</xdr:rowOff>
    </xdr:from>
    <xdr:to>
      <xdr:col>24</xdr:col>
      <xdr:colOff>762001</xdr:colOff>
      <xdr:row>540</xdr:row>
      <xdr:rowOff>95250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040225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541</xdr:row>
      <xdr:rowOff>80421</xdr:rowOff>
    </xdr:from>
    <xdr:to>
      <xdr:col>24</xdr:col>
      <xdr:colOff>381000</xdr:colOff>
      <xdr:row>542</xdr:row>
      <xdr:rowOff>29781</xdr:rowOff>
    </xdr:to>
    <xdr:pic>
      <xdr:nvPicPr>
        <xdr:cNvPr id="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045506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569</xdr:row>
      <xdr:rowOff>38100</xdr:rowOff>
    </xdr:from>
    <xdr:to>
      <xdr:col>24</xdr:col>
      <xdr:colOff>762000</xdr:colOff>
      <xdr:row>570</xdr:row>
      <xdr:rowOff>0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098899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570</xdr:row>
      <xdr:rowOff>123825</xdr:rowOff>
    </xdr:from>
    <xdr:to>
      <xdr:col>24</xdr:col>
      <xdr:colOff>762001</xdr:colOff>
      <xdr:row>572</xdr:row>
      <xdr:rowOff>95250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101661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573</xdr:row>
      <xdr:rowOff>80421</xdr:rowOff>
    </xdr:from>
    <xdr:to>
      <xdr:col>24</xdr:col>
      <xdr:colOff>381000</xdr:colOff>
      <xdr:row>574</xdr:row>
      <xdr:rowOff>29781</xdr:rowOff>
    </xdr:to>
    <xdr:pic>
      <xdr:nvPicPr>
        <xdr:cNvPr id="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106942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601</xdr:row>
      <xdr:rowOff>38100</xdr:rowOff>
    </xdr:from>
    <xdr:to>
      <xdr:col>24</xdr:col>
      <xdr:colOff>762000</xdr:colOff>
      <xdr:row>602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160335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602</xdr:row>
      <xdr:rowOff>123825</xdr:rowOff>
    </xdr:from>
    <xdr:to>
      <xdr:col>24</xdr:col>
      <xdr:colOff>762001</xdr:colOff>
      <xdr:row>604</xdr:row>
      <xdr:rowOff>95250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163097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605</xdr:row>
      <xdr:rowOff>80421</xdr:rowOff>
    </xdr:from>
    <xdr:to>
      <xdr:col>24</xdr:col>
      <xdr:colOff>381000</xdr:colOff>
      <xdr:row>606</xdr:row>
      <xdr:rowOff>29781</xdr:rowOff>
    </xdr:to>
    <xdr:pic>
      <xdr:nvPicPr>
        <xdr:cNvPr id="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168378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633</xdr:row>
      <xdr:rowOff>38100</xdr:rowOff>
    </xdr:from>
    <xdr:to>
      <xdr:col>24</xdr:col>
      <xdr:colOff>762000</xdr:colOff>
      <xdr:row>634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221771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634</xdr:row>
      <xdr:rowOff>123825</xdr:rowOff>
    </xdr:from>
    <xdr:to>
      <xdr:col>24</xdr:col>
      <xdr:colOff>762001</xdr:colOff>
      <xdr:row>636</xdr:row>
      <xdr:rowOff>95250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224534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637</xdr:row>
      <xdr:rowOff>80421</xdr:rowOff>
    </xdr:from>
    <xdr:to>
      <xdr:col>24</xdr:col>
      <xdr:colOff>381000</xdr:colOff>
      <xdr:row>638</xdr:row>
      <xdr:rowOff>29781</xdr:rowOff>
    </xdr:to>
    <xdr:pic>
      <xdr:nvPicPr>
        <xdr:cNvPr id="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229814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665</xdr:row>
      <xdr:rowOff>38100</xdr:rowOff>
    </xdr:from>
    <xdr:to>
      <xdr:col>24</xdr:col>
      <xdr:colOff>762000</xdr:colOff>
      <xdr:row>666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283208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666</xdr:row>
      <xdr:rowOff>123825</xdr:rowOff>
    </xdr:from>
    <xdr:to>
      <xdr:col>24</xdr:col>
      <xdr:colOff>762001</xdr:colOff>
      <xdr:row>668</xdr:row>
      <xdr:rowOff>95250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285970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669</xdr:row>
      <xdr:rowOff>80421</xdr:rowOff>
    </xdr:from>
    <xdr:to>
      <xdr:col>24</xdr:col>
      <xdr:colOff>381000</xdr:colOff>
      <xdr:row>670</xdr:row>
      <xdr:rowOff>29781</xdr:rowOff>
    </xdr:to>
    <xdr:pic>
      <xdr:nvPicPr>
        <xdr:cNvPr id="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291251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697</xdr:row>
      <xdr:rowOff>38100</xdr:rowOff>
    </xdr:from>
    <xdr:to>
      <xdr:col>24</xdr:col>
      <xdr:colOff>762000</xdr:colOff>
      <xdr:row>698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344644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698</xdr:row>
      <xdr:rowOff>123825</xdr:rowOff>
    </xdr:from>
    <xdr:to>
      <xdr:col>24</xdr:col>
      <xdr:colOff>762001</xdr:colOff>
      <xdr:row>700</xdr:row>
      <xdr:rowOff>95250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347406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701</xdr:row>
      <xdr:rowOff>80421</xdr:rowOff>
    </xdr:from>
    <xdr:to>
      <xdr:col>24</xdr:col>
      <xdr:colOff>381000</xdr:colOff>
      <xdr:row>702</xdr:row>
      <xdr:rowOff>29781</xdr:rowOff>
    </xdr:to>
    <xdr:pic>
      <xdr:nvPicPr>
        <xdr:cNvPr id="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352687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729</xdr:row>
      <xdr:rowOff>38100</xdr:rowOff>
    </xdr:from>
    <xdr:to>
      <xdr:col>24</xdr:col>
      <xdr:colOff>762000</xdr:colOff>
      <xdr:row>730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406080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730</xdr:row>
      <xdr:rowOff>123825</xdr:rowOff>
    </xdr:from>
    <xdr:to>
      <xdr:col>24</xdr:col>
      <xdr:colOff>762001</xdr:colOff>
      <xdr:row>732</xdr:row>
      <xdr:rowOff>95250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408842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733</xdr:row>
      <xdr:rowOff>80421</xdr:rowOff>
    </xdr:from>
    <xdr:to>
      <xdr:col>24</xdr:col>
      <xdr:colOff>381000</xdr:colOff>
      <xdr:row>734</xdr:row>
      <xdr:rowOff>29781</xdr:rowOff>
    </xdr:to>
    <xdr:pic>
      <xdr:nvPicPr>
        <xdr:cNvPr id="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414123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761</xdr:row>
      <xdr:rowOff>38100</xdr:rowOff>
    </xdr:from>
    <xdr:to>
      <xdr:col>24</xdr:col>
      <xdr:colOff>762000</xdr:colOff>
      <xdr:row>762</xdr:row>
      <xdr:rowOff>0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467516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762</xdr:row>
      <xdr:rowOff>123825</xdr:rowOff>
    </xdr:from>
    <xdr:to>
      <xdr:col>24</xdr:col>
      <xdr:colOff>762001</xdr:colOff>
      <xdr:row>764</xdr:row>
      <xdr:rowOff>95250</xdr:rowOff>
    </xdr:to>
    <xdr:pic>
      <xdr:nvPicPr>
        <xdr:cNvPr id="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470279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765</xdr:row>
      <xdr:rowOff>80421</xdr:rowOff>
    </xdr:from>
    <xdr:to>
      <xdr:col>24</xdr:col>
      <xdr:colOff>381000</xdr:colOff>
      <xdr:row>766</xdr:row>
      <xdr:rowOff>29781</xdr:rowOff>
    </xdr:to>
    <xdr:pic>
      <xdr:nvPicPr>
        <xdr:cNvPr id="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475559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793</xdr:row>
      <xdr:rowOff>38100</xdr:rowOff>
    </xdr:from>
    <xdr:to>
      <xdr:col>24</xdr:col>
      <xdr:colOff>762000</xdr:colOff>
      <xdr:row>794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528953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794</xdr:row>
      <xdr:rowOff>123825</xdr:rowOff>
    </xdr:from>
    <xdr:to>
      <xdr:col>24</xdr:col>
      <xdr:colOff>762001</xdr:colOff>
      <xdr:row>796</xdr:row>
      <xdr:rowOff>95250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531715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797</xdr:row>
      <xdr:rowOff>80421</xdr:rowOff>
    </xdr:from>
    <xdr:to>
      <xdr:col>24</xdr:col>
      <xdr:colOff>381000</xdr:colOff>
      <xdr:row>798</xdr:row>
      <xdr:rowOff>29781</xdr:rowOff>
    </xdr:to>
    <xdr:pic>
      <xdr:nvPicPr>
        <xdr:cNvPr id="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536996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825</xdr:row>
      <xdr:rowOff>38100</xdr:rowOff>
    </xdr:from>
    <xdr:to>
      <xdr:col>24</xdr:col>
      <xdr:colOff>762000</xdr:colOff>
      <xdr:row>826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590389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826</xdr:row>
      <xdr:rowOff>123825</xdr:rowOff>
    </xdr:from>
    <xdr:to>
      <xdr:col>24</xdr:col>
      <xdr:colOff>762001</xdr:colOff>
      <xdr:row>828</xdr:row>
      <xdr:rowOff>95250</xdr:rowOff>
    </xdr:to>
    <xdr:pic>
      <xdr:nvPicPr>
        <xdr:cNvPr id="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593151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829</xdr:row>
      <xdr:rowOff>80421</xdr:rowOff>
    </xdr:from>
    <xdr:to>
      <xdr:col>24</xdr:col>
      <xdr:colOff>381000</xdr:colOff>
      <xdr:row>830</xdr:row>
      <xdr:rowOff>29781</xdr:rowOff>
    </xdr:to>
    <xdr:pic>
      <xdr:nvPicPr>
        <xdr:cNvPr id="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598432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857</xdr:row>
      <xdr:rowOff>38100</xdr:rowOff>
    </xdr:from>
    <xdr:to>
      <xdr:col>24</xdr:col>
      <xdr:colOff>762000</xdr:colOff>
      <xdr:row>858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651825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858</xdr:row>
      <xdr:rowOff>123825</xdr:rowOff>
    </xdr:from>
    <xdr:to>
      <xdr:col>24</xdr:col>
      <xdr:colOff>762001</xdr:colOff>
      <xdr:row>860</xdr:row>
      <xdr:rowOff>95250</xdr:rowOff>
    </xdr:to>
    <xdr:pic>
      <xdr:nvPicPr>
        <xdr:cNvPr id="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654587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861</xdr:row>
      <xdr:rowOff>80421</xdr:rowOff>
    </xdr:from>
    <xdr:to>
      <xdr:col>24</xdr:col>
      <xdr:colOff>381000</xdr:colOff>
      <xdr:row>862</xdr:row>
      <xdr:rowOff>29781</xdr:rowOff>
    </xdr:to>
    <xdr:pic>
      <xdr:nvPicPr>
        <xdr:cNvPr id="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6598687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889</xdr:row>
      <xdr:rowOff>38100</xdr:rowOff>
    </xdr:from>
    <xdr:to>
      <xdr:col>24</xdr:col>
      <xdr:colOff>762000</xdr:colOff>
      <xdr:row>890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7132617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890</xdr:row>
      <xdr:rowOff>123825</xdr:rowOff>
    </xdr:from>
    <xdr:to>
      <xdr:col>24</xdr:col>
      <xdr:colOff>762001</xdr:colOff>
      <xdr:row>892</xdr:row>
      <xdr:rowOff>95250</xdr:rowOff>
    </xdr:to>
    <xdr:pic>
      <xdr:nvPicPr>
        <xdr:cNvPr id="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7160240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893</xdr:row>
      <xdr:rowOff>80421</xdr:rowOff>
    </xdr:from>
    <xdr:to>
      <xdr:col>24</xdr:col>
      <xdr:colOff>381000</xdr:colOff>
      <xdr:row>894</xdr:row>
      <xdr:rowOff>29781</xdr:rowOff>
    </xdr:to>
    <xdr:pic>
      <xdr:nvPicPr>
        <xdr:cNvPr id="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7213049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921</xdr:row>
      <xdr:rowOff>38100</xdr:rowOff>
    </xdr:from>
    <xdr:to>
      <xdr:col>24</xdr:col>
      <xdr:colOff>762000</xdr:colOff>
      <xdr:row>922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7746980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922</xdr:row>
      <xdr:rowOff>123825</xdr:rowOff>
    </xdr:from>
    <xdr:to>
      <xdr:col>24</xdr:col>
      <xdr:colOff>762001</xdr:colOff>
      <xdr:row>924</xdr:row>
      <xdr:rowOff>95250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7774602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925</xdr:row>
      <xdr:rowOff>80421</xdr:rowOff>
    </xdr:from>
    <xdr:to>
      <xdr:col>24</xdr:col>
      <xdr:colOff>381000</xdr:colOff>
      <xdr:row>926</xdr:row>
      <xdr:rowOff>29781</xdr:rowOff>
    </xdr:to>
    <xdr:pic>
      <xdr:nvPicPr>
        <xdr:cNvPr id="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78274121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953</xdr:row>
      <xdr:rowOff>38100</xdr:rowOff>
    </xdr:from>
    <xdr:to>
      <xdr:col>24</xdr:col>
      <xdr:colOff>762000</xdr:colOff>
      <xdr:row>954</xdr:row>
      <xdr:rowOff>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83613425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954</xdr:row>
      <xdr:rowOff>123825</xdr:rowOff>
    </xdr:from>
    <xdr:to>
      <xdr:col>24</xdr:col>
      <xdr:colOff>762001</xdr:colOff>
      <xdr:row>956</xdr:row>
      <xdr:rowOff>95250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83889650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957</xdr:row>
      <xdr:rowOff>80421</xdr:rowOff>
    </xdr:from>
    <xdr:to>
      <xdr:col>24</xdr:col>
      <xdr:colOff>381000</xdr:colOff>
      <xdr:row>958</xdr:row>
      <xdr:rowOff>29781</xdr:rowOff>
    </xdr:to>
    <xdr:pic>
      <xdr:nvPicPr>
        <xdr:cNvPr id="9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84417746"/>
          <a:ext cx="380999" cy="13986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609600</xdr:colOff>
      <xdr:row>985</xdr:row>
      <xdr:rowOff>38100</xdr:rowOff>
    </xdr:from>
    <xdr:to>
      <xdr:col>24</xdr:col>
      <xdr:colOff>762000</xdr:colOff>
      <xdr:row>986</xdr:row>
      <xdr:rowOff>0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16975" y="189757050"/>
          <a:ext cx="1038225" cy="15240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28576</xdr:colOff>
      <xdr:row>986</xdr:row>
      <xdr:rowOff>123825</xdr:rowOff>
    </xdr:from>
    <xdr:to>
      <xdr:col>24</xdr:col>
      <xdr:colOff>762001</xdr:colOff>
      <xdr:row>988</xdr:row>
      <xdr:rowOff>95250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97951" y="190033275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</xdr:colOff>
      <xdr:row>989</xdr:row>
      <xdr:rowOff>80421</xdr:rowOff>
    </xdr:from>
    <xdr:to>
      <xdr:col>24</xdr:col>
      <xdr:colOff>381000</xdr:colOff>
      <xdr:row>990</xdr:row>
      <xdr:rowOff>29781</xdr:rowOff>
    </xdr:to>
    <xdr:pic>
      <xdr:nvPicPr>
        <xdr:cNvPr id="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669376" y="190561371"/>
          <a:ext cx="380999" cy="1398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885825" y="0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rol%20de%20Gas\Calidad%20de%20Gas\Calidad%20de%20Gas%202013\Calidad%20de%20Gas%20Palmillas\Reporte%20CG%20Palmillas%2010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_Palmillas_Octubre"/>
    </sheetNames>
    <sheetDataSet>
      <sheetData sheetId="0">
        <row r="11">
          <cell r="B11">
            <v>8799.3469583333335</v>
          </cell>
          <cell r="C11">
            <v>0.61243250000000005</v>
          </cell>
          <cell r="D11">
            <v>1.0333333333333335E-2</v>
          </cell>
          <cell r="E11">
            <v>0.43495833333333334</v>
          </cell>
          <cell r="F11">
            <v>2.933333333333335E-2</v>
          </cell>
          <cell r="G11">
            <v>3.8250000000000013E-2</v>
          </cell>
          <cell r="H11">
            <v>5.2500000000000021E-3</v>
          </cell>
          <cell r="I11">
            <v>3.5833333333333346E-3</v>
          </cell>
          <cell r="J11">
            <v>3.5912916666666668</v>
          </cell>
          <cell r="K11">
            <v>88.471916666666672</v>
          </cell>
          <cell r="L11">
            <v>0.20233333333333337</v>
          </cell>
          <cell r="M11">
            <v>7.2127499999999989</v>
          </cell>
        </row>
        <row r="12">
          <cell r="B12">
            <v>8790.8757916666655</v>
          </cell>
          <cell r="C12">
            <v>0.61258999999999986</v>
          </cell>
          <cell r="D12">
            <v>1.1375000000000003E-2</v>
          </cell>
          <cell r="E12">
            <v>0.42074999999999996</v>
          </cell>
          <cell r="F12">
            <v>2.970833333333335E-2</v>
          </cell>
          <cell r="G12">
            <v>3.8708333333333345E-2</v>
          </cell>
          <cell r="H12">
            <v>5.4583333333333359E-3</v>
          </cell>
          <cell r="I12">
            <v>4.0416666666666682E-3</v>
          </cell>
          <cell r="J12">
            <v>3.6782499999999998</v>
          </cell>
          <cell r="K12">
            <v>88.414249999999996</v>
          </cell>
          <cell r="L12">
            <v>0.19445833333333332</v>
          </cell>
          <cell r="M12">
            <v>7.2024999999999997</v>
          </cell>
        </row>
        <row r="13">
          <cell r="B13">
            <v>8768.6642499999998</v>
          </cell>
          <cell r="C13">
            <v>0.61159375000000005</v>
          </cell>
          <cell r="D13">
            <v>1.2208333333333337E-2</v>
          </cell>
          <cell r="E13">
            <v>0.41308333333333341</v>
          </cell>
          <cell r="F13">
            <v>3.1541666666666683E-2</v>
          </cell>
          <cell r="G13">
            <v>3.8666666666666683E-2</v>
          </cell>
          <cell r="H13">
            <v>5.7916666666666681E-3</v>
          </cell>
          <cell r="I13">
            <v>4.1250000000000011E-3</v>
          </cell>
          <cell r="J13">
            <v>3.7412916666666667</v>
          </cell>
          <cell r="K13">
            <v>88.60775000000001</v>
          </cell>
          <cell r="L13">
            <v>0.19479166666666667</v>
          </cell>
          <cell r="M13">
            <v>6.9508333333333328</v>
          </cell>
        </row>
        <row r="14">
          <cell r="B14">
            <v>8770.3642500000005</v>
          </cell>
          <cell r="C14">
            <v>0.6095341666666666</v>
          </cell>
          <cell r="D14">
            <v>1.1916666666666673E-2</v>
          </cell>
          <cell r="E14">
            <v>0.37925000000000003</v>
          </cell>
          <cell r="F14">
            <v>2.6583333333333344E-2</v>
          </cell>
          <cell r="G14">
            <v>3.4500000000000024E-2</v>
          </cell>
          <cell r="H14">
            <v>5.2083333333333348E-3</v>
          </cell>
          <cell r="I14">
            <v>3.7500000000000012E-3</v>
          </cell>
          <cell r="J14">
            <v>3.5107916666666674</v>
          </cell>
          <cell r="K14">
            <v>89.025083333333342</v>
          </cell>
          <cell r="L14">
            <v>0.21058333333333337</v>
          </cell>
          <cell r="M14">
            <v>6.7927083333333336</v>
          </cell>
        </row>
        <row r="15">
          <cell r="B15">
            <v>8776.7149166666677</v>
          </cell>
          <cell r="C15">
            <v>0.60967333333333329</v>
          </cell>
          <cell r="D15">
            <v>1.2833333333333337E-2</v>
          </cell>
          <cell r="E15">
            <v>0.40937499999999999</v>
          </cell>
          <cell r="F15">
            <v>2.8041666666666683E-2</v>
          </cell>
          <cell r="G15">
            <v>3.720833333333335E-2</v>
          </cell>
          <cell r="H15">
            <v>5.7083333333333352E-3</v>
          </cell>
          <cell r="I15">
            <v>4.1666666666666683E-3</v>
          </cell>
          <cell r="J15">
            <v>3.4661666666666662</v>
          </cell>
          <cell r="K15">
            <v>89.058791666666664</v>
          </cell>
          <cell r="L15">
            <v>0.21883333333333341</v>
          </cell>
          <cell r="M15">
            <v>6.7586666666666675</v>
          </cell>
        </row>
        <row r="16">
          <cell r="B16">
            <v>8760.1471666666675</v>
          </cell>
          <cell r="C16">
            <v>0.60518708333333338</v>
          </cell>
          <cell r="D16">
            <v>1.2458333333333337E-2</v>
          </cell>
          <cell r="E16">
            <v>0.40162500000000007</v>
          </cell>
          <cell r="F16">
            <v>3.3791666666666685E-2</v>
          </cell>
          <cell r="G16">
            <v>4.4916666666666667E-2</v>
          </cell>
          <cell r="H16">
            <v>6.7083333333333361E-3</v>
          </cell>
          <cell r="I16">
            <v>4.9583333333333346E-3</v>
          </cell>
          <cell r="J16">
            <v>3.1226666666666669</v>
          </cell>
          <cell r="K16">
            <v>90.078749999999999</v>
          </cell>
          <cell r="L16">
            <v>0.24337500000000001</v>
          </cell>
          <cell r="M16">
            <v>6.0502916666666673</v>
          </cell>
        </row>
        <row r="17">
          <cell r="B17">
            <v>8714.7944583333338</v>
          </cell>
          <cell r="C17">
            <v>0.60253916666666663</v>
          </cell>
          <cell r="D17">
            <v>1.4625000000000004E-2</v>
          </cell>
          <cell r="E17">
            <v>0.39783333333333326</v>
          </cell>
          <cell r="F17">
            <v>3.7833333333333344E-2</v>
          </cell>
          <cell r="G17">
            <v>5.104166666666668E-2</v>
          </cell>
          <cell r="H17">
            <v>8.0000000000000019E-3</v>
          </cell>
          <cell r="I17">
            <v>6.2916666666666685E-3</v>
          </cell>
          <cell r="J17">
            <v>3.1357916666666665</v>
          </cell>
          <cell r="K17">
            <v>90.68920833333334</v>
          </cell>
          <cell r="L17">
            <v>0.28170833333333339</v>
          </cell>
          <cell r="M17">
            <v>5.3781250000000007</v>
          </cell>
        </row>
        <row r="18">
          <cell r="B18">
            <v>8717.9567083333332</v>
          </cell>
          <cell r="C18">
            <v>0.60340583333333331</v>
          </cell>
          <cell r="D18">
            <v>1.5041666666666674E-2</v>
          </cell>
          <cell r="E18">
            <v>0.45520833333333344</v>
          </cell>
          <cell r="F18">
            <v>3.7291666666666681E-2</v>
          </cell>
          <cell r="G18">
            <v>4.987500000000001E-2</v>
          </cell>
          <cell r="H18">
            <v>8.1666666666666693E-3</v>
          </cell>
          <cell r="I18">
            <v>6.4583333333333359E-3</v>
          </cell>
          <cell r="J18">
            <v>3.1908749999999997</v>
          </cell>
          <cell r="K18">
            <v>90.562124999999995</v>
          </cell>
          <cell r="L18">
            <v>0.28420833333333334</v>
          </cell>
          <cell r="M18">
            <v>5.3909166666666657</v>
          </cell>
        </row>
        <row r="19">
          <cell r="B19">
            <v>8697.7554999999993</v>
          </cell>
          <cell r="C19">
            <v>0.60432499999999989</v>
          </cell>
          <cell r="D19">
            <v>1.545833333333334E-2</v>
          </cell>
          <cell r="E19">
            <v>0.42670833333333341</v>
          </cell>
          <cell r="F19">
            <v>3.8916666666666676E-2</v>
          </cell>
          <cell r="G19">
            <v>5.025000000000001E-2</v>
          </cell>
          <cell r="H19">
            <v>8.3750000000000022E-3</v>
          </cell>
          <cell r="I19">
            <v>6.9166666666666691E-3</v>
          </cell>
          <cell r="J19">
            <v>3.4535</v>
          </cell>
          <cell r="K19">
            <v>90.293166666666664</v>
          </cell>
          <cell r="L19">
            <v>0.26295833333333335</v>
          </cell>
          <cell r="M19">
            <v>5.4438749999999994</v>
          </cell>
        </row>
        <row r="20">
          <cell r="B20">
            <v>8531.0222500000018</v>
          </cell>
          <cell r="C20">
            <v>0.61101249999999996</v>
          </cell>
          <cell r="D20">
            <v>1.8541666666666675E-2</v>
          </cell>
          <cell r="E20">
            <v>0.32287500000000002</v>
          </cell>
          <cell r="F20">
            <v>2.5500000000000012E-2</v>
          </cell>
          <cell r="G20">
            <v>3.1625000000000014E-2</v>
          </cell>
          <cell r="H20">
            <v>7.9166666666666691E-3</v>
          </cell>
          <cell r="I20">
            <v>7.4583333333333368E-3</v>
          </cell>
          <cell r="J20">
            <v>5.5206666666666671</v>
          </cell>
          <cell r="K20">
            <v>88.286833333333334</v>
          </cell>
          <cell r="L20">
            <v>9.774999999999999E-2</v>
          </cell>
          <cell r="M20">
            <v>5.680958333333332</v>
          </cell>
        </row>
        <row r="21">
          <cell r="B21">
            <v>8701.8038749999996</v>
          </cell>
          <cell r="C21">
            <v>0.60631625</v>
          </cell>
          <cell r="D21">
            <v>2.133333333333334E-2</v>
          </cell>
          <cell r="E21">
            <v>0.46920833333333345</v>
          </cell>
          <cell r="F21">
            <v>5.5291666666666663E-2</v>
          </cell>
          <cell r="G21">
            <v>6.2291666666666683E-2</v>
          </cell>
          <cell r="H21">
            <v>1.0125000000000004E-2</v>
          </cell>
          <cell r="I21">
            <v>9.3750000000000031E-3</v>
          </cell>
          <cell r="J21">
            <v>3.6693333333333324</v>
          </cell>
          <cell r="K21">
            <v>89.952416666666679</v>
          </cell>
          <cell r="L21">
            <v>0.22475000000000001</v>
          </cell>
          <cell r="M21">
            <v>5.5259166666666664</v>
          </cell>
        </row>
        <row r="22">
          <cell r="B22">
            <v>8704.5270833333325</v>
          </cell>
          <cell r="C22">
            <v>0.60536541666666654</v>
          </cell>
          <cell r="D22">
            <v>1.2041666666666671E-2</v>
          </cell>
          <cell r="E22">
            <v>0.46041666666666664</v>
          </cell>
          <cell r="F22">
            <v>5.2541666666666674E-2</v>
          </cell>
          <cell r="G22">
            <v>5.2041666666666687E-2</v>
          </cell>
          <cell r="H22">
            <v>4.916666666666669E-3</v>
          </cell>
          <cell r="I22">
            <v>3.7916666666666689E-3</v>
          </cell>
          <cell r="J22">
            <v>3.6752499999999997</v>
          </cell>
          <cell r="K22">
            <v>89.962333333333319</v>
          </cell>
          <cell r="L22">
            <v>0.15008333333333335</v>
          </cell>
          <cell r="M22">
            <v>5.6267083333333341</v>
          </cell>
        </row>
        <row r="23">
          <cell r="B23">
            <v>8627.8714166666668</v>
          </cell>
          <cell r="C23">
            <v>0.60736666666666661</v>
          </cell>
          <cell r="D23">
            <v>1.3416666666666669E-2</v>
          </cell>
          <cell r="E23">
            <v>0.52720833333333317</v>
          </cell>
          <cell r="F23">
            <v>4.9041666666666678E-2</v>
          </cell>
          <cell r="G23">
            <v>5.350000000000002E-2</v>
          </cell>
          <cell r="H23">
            <v>6.6250000000000024E-3</v>
          </cell>
          <cell r="I23">
            <v>5.6666666666666679E-3</v>
          </cell>
          <cell r="J23">
            <v>4.434499999999999</v>
          </cell>
          <cell r="K23">
            <v>89.498374999999996</v>
          </cell>
          <cell r="L23">
            <v>0.13225000000000001</v>
          </cell>
          <cell r="M23">
            <v>5.2792916666666674</v>
          </cell>
        </row>
        <row r="24">
          <cell r="B24">
            <v>8660.0981666666667</v>
          </cell>
          <cell r="C24">
            <v>0.61292416666666671</v>
          </cell>
          <cell r="D24">
            <v>1.4166666666666669E-2</v>
          </cell>
          <cell r="E24">
            <v>0.47620833333333329</v>
          </cell>
          <cell r="F24">
            <v>3.2583333333333346E-2</v>
          </cell>
          <cell r="G24">
            <v>3.5208333333333348E-2</v>
          </cell>
          <cell r="H24">
            <v>6.2916666666666676E-3</v>
          </cell>
          <cell r="I24">
            <v>5.2083333333333348E-3</v>
          </cell>
          <cell r="J24">
            <v>4.7542916666666661</v>
          </cell>
          <cell r="K24">
            <v>88.175291666666681</v>
          </cell>
          <cell r="L24">
            <v>0.11737500000000001</v>
          </cell>
          <cell r="M24">
            <v>6.3834166666666663</v>
          </cell>
        </row>
        <row r="25">
          <cell r="B25">
            <v>8579.3116250000003</v>
          </cell>
          <cell r="C25">
            <v>0.60837458333333327</v>
          </cell>
          <cell r="D25">
            <v>1.6625000000000004E-2</v>
          </cell>
          <cell r="E25">
            <v>0.41533333333333333</v>
          </cell>
          <cell r="F25">
            <v>3.7208333333333343E-2</v>
          </cell>
          <cell r="G25">
            <v>4.2958333333333348E-2</v>
          </cell>
          <cell r="H25">
            <v>8.0416666666666692E-3</v>
          </cell>
          <cell r="I25">
            <v>7.1666666666666684E-3</v>
          </cell>
          <cell r="J25">
            <v>4.8973749999999994</v>
          </cell>
          <cell r="K25">
            <v>89.07479166666667</v>
          </cell>
          <cell r="L25">
            <v>0.11787499999999999</v>
          </cell>
          <cell r="M25">
            <v>5.3822916666666663</v>
          </cell>
        </row>
        <row r="26">
          <cell r="B26">
            <v>8610.3517083333336</v>
          </cell>
          <cell r="C26">
            <v>0.60619124999999985</v>
          </cell>
          <cell r="D26">
            <v>1.8375000000000009E-2</v>
          </cell>
          <cell r="E26">
            <v>0.36966666666666664</v>
          </cell>
          <cell r="F26">
            <v>2.8750000000000015E-2</v>
          </cell>
          <cell r="G26">
            <v>3.9666666666666676E-2</v>
          </cell>
          <cell r="H26">
            <v>8.5416666666666714E-3</v>
          </cell>
          <cell r="I26">
            <v>7.3333333333333367E-3</v>
          </cell>
          <cell r="J26">
            <v>4.4594166666666668</v>
          </cell>
          <cell r="K26">
            <v>89.534958333333336</v>
          </cell>
          <cell r="L26">
            <v>0.12575</v>
          </cell>
          <cell r="M26">
            <v>5.4080416666666657</v>
          </cell>
        </row>
        <row r="27">
          <cell r="B27">
            <v>8643.3675833333327</v>
          </cell>
          <cell r="C27">
            <v>0.60770625</v>
          </cell>
          <cell r="D27">
            <v>1.5458333333333338E-2</v>
          </cell>
          <cell r="E27">
            <v>0.39787499999999998</v>
          </cell>
          <cell r="F27">
            <v>2.6291666666666682E-2</v>
          </cell>
          <cell r="G27">
            <v>4.0500000000000015E-2</v>
          </cell>
          <cell r="H27">
            <v>7.4166666666666695E-3</v>
          </cell>
          <cell r="I27">
            <v>6.2916666666666702E-3</v>
          </cell>
          <cell r="J27">
            <v>4.3920833333333329</v>
          </cell>
          <cell r="K27">
            <v>89.227208333333337</v>
          </cell>
          <cell r="L27">
            <v>0.11</v>
          </cell>
          <cell r="M27">
            <v>5.7767083333333327</v>
          </cell>
        </row>
        <row r="28">
          <cell r="B28">
            <v>8580.45975</v>
          </cell>
          <cell r="C28">
            <v>0.61012666666666659</v>
          </cell>
          <cell r="D28">
            <v>2.3250000000000007E-2</v>
          </cell>
          <cell r="E28">
            <v>0.46550000000000008</v>
          </cell>
          <cell r="F28">
            <v>3.8291666666666675E-2</v>
          </cell>
          <cell r="G28">
            <v>6.7541666666666667E-2</v>
          </cell>
          <cell r="H28">
            <v>1.4083333333333338E-2</v>
          </cell>
          <cell r="I28">
            <v>1.4000000000000004E-2</v>
          </cell>
          <cell r="J28">
            <v>5.0810416666666667</v>
          </cell>
          <cell r="K28">
            <v>88.836375000000018</v>
          </cell>
          <cell r="L28">
            <v>9.9625000000000019E-2</v>
          </cell>
          <cell r="M28">
            <v>5.3608749999999992</v>
          </cell>
        </row>
        <row r="29">
          <cell r="B29">
            <v>8457.6271666666671</v>
          </cell>
          <cell r="C29">
            <v>0.61344708333333342</v>
          </cell>
          <cell r="D29">
            <v>2.1083333333333343E-2</v>
          </cell>
          <cell r="E29">
            <v>0.40558333333333324</v>
          </cell>
          <cell r="F29">
            <v>3.1208333333333348E-2</v>
          </cell>
          <cell r="G29">
            <v>5.4125E-2</v>
          </cell>
          <cell r="H29">
            <v>1.2375000000000004E-2</v>
          </cell>
          <cell r="I29">
            <v>1.2458333333333337E-2</v>
          </cell>
          <cell r="J29">
            <v>6.3032916666666665</v>
          </cell>
          <cell r="K29">
            <v>87.826416666666674</v>
          </cell>
          <cell r="L29">
            <v>7.5874999999999998E-2</v>
          </cell>
          <cell r="M29">
            <v>5.2572916666666663</v>
          </cell>
        </row>
        <row r="30">
          <cell r="B30">
            <v>8382.9538749999974</v>
          </cell>
          <cell r="C30">
            <v>0.61417250000000001</v>
          </cell>
          <cell r="D30">
            <v>1.7208333333333336E-2</v>
          </cell>
          <cell r="E30">
            <v>0.35245833333333337</v>
          </cell>
          <cell r="F30">
            <v>2.4625000000000008E-2</v>
          </cell>
          <cell r="G30">
            <v>4.1000000000000016E-2</v>
          </cell>
          <cell r="H30">
            <v>1.041666666666667E-2</v>
          </cell>
          <cell r="I30">
            <v>1.0500000000000002E-2</v>
          </cell>
          <cell r="J30">
            <v>6.9343333333333348</v>
          </cell>
          <cell r="K30">
            <v>87.437291666666667</v>
          </cell>
          <cell r="L30">
            <v>5.5125000000000028E-2</v>
          </cell>
          <cell r="M30">
            <v>5.1169999999999991</v>
          </cell>
        </row>
        <row r="31">
          <cell r="B31">
            <v>8408.2440000000006</v>
          </cell>
          <cell r="C31">
            <v>0.6190699999999999</v>
          </cell>
          <cell r="D31">
            <v>1.795833333333334E-2</v>
          </cell>
          <cell r="E31">
            <v>0.40979166666666672</v>
          </cell>
          <cell r="F31">
            <v>2.0375000000000008E-2</v>
          </cell>
          <cell r="G31">
            <v>3.2291666666666684E-2</v>
          </cell>
          <cell r="H31">
            <v>9.3333333333333376E-3</v>
          </cell>
          <cell r="I31">
            <v>9.3333333333333376E-3</v>
          </cell>
          <cell r="J31">
            <v>7.2340416666666654</v>
          </cell>
          <cell r="K31">
            <v>86.403958333333321</v>
          </cell>
          <cell r="L31">
            <v>4.3958333333333342E-2</v>
          </cell>
          <cell r="M31">
            <v>5.8191250000000005</v>
          </cell>
        </row>
        <row r="32">
          <cell r="B32">
            <v>8414.5101666666687</v>
          </cell>
          <cell r="C32">
            <v>0.61950958333333328</v>
          </cell>
          <cell r="D32">
            <v>3.1666666666666676E-2</v>
          </cell>
          <cell r="E32">
            <v>0.46020833333333333</v>
          </cell>
          <cell r="F32">
            <v>4.0375000000000015E-2</v>
          </cell>
          <cell r="G32">
            <v>7.6375000000000012E-2</v>
          </cell>
          <cell r="H32">
            <v>2.0625000000000008E-2</v>
          </cell>
          <cell r="I32">
            <v>2.2333333333333344E-2</v>
          </cell>
          <cell r="J32">
            <v>7.2372916666666667</v>
          </cell>
          <cell r="K32">
            <v>86.621125000000006</v>
          </cell>
          <cell r="L32">
            <v>3.8333333333333344E-2</v>
          </cell>
          <cell r="M32">
            <v>5.452208333333334</v>
          </cell>
        </row>
        <row r="33">
          <cell r="B33">
            <v>8455.2382500000003</v>
          </cell>
          <cell r="C33">
            <v>0.62064625000000018</v>
          </cell>
          <cell r="D33">
            <v>3.7166666666666674E-2</v>
          </cell>
          <cell r="E33">
            <v>0.51370833333333343</v>
          </cell>
          <cell r="F33">
            <v>4.791666666666667E-2</v>
          </cell>
          <cell r="G33">
            <v>9.2749999999999999E-2</v>
          </cell>
          <cell r="H33">
            <v>2.5208333333333346E-2</v>
          </cell>
          <cell r="I33">
            <v>2.7500000000000014E-2</v>
          </cell>
          <cell r="J33">
            <v>7.0499583333333335</v>
          </cell>
          <cell r="K33">
            <v>86.579666666666654</v>
          </cell>
          <cell r="L33">
            <v>4.0916666666666678E-2</v>
          </cell>
          <cell r="M33">
            <v>5.5847083333333325</v>
          </cell>
        </row>
        <row r="34">
          <cell r="B34">
            <v>8558.5030416666687</v>
          </cell>
          <cell r="C34">
            <v>0.60830958333333329</v>
          </cell>
          <cell r="D34">
            <v>4.0083333333333353E-2</v>
          </cell>
          <cell r="E34">
            <v>0.46500000000000002</v>
          </cell>
          <cell r="F34">
            <v>5.0583333333333348E-2</v>
          </cell>
          <cell r="G34">
            <v>8.8374999999999995E-2</v>
          </cell>
          <cell r="H34">
            <v>2.2541666666666672E-2</v>
          </cell>
          <cell r="I34">
            <v>2.2583333333333341E-2</v>
          </cell>
          <cell r="J34">
            <v>5.0206666666666671</v>
          </cell>
          <cell r="K34">
            <v>89.443624999999997</v>
          </cell>
          <cell r="L34">
            <v>0.12762499999999999</v>
          </cell>
          <cell r="M34">
            <v>4.719125</v>
          </cell>
        </row>
        <row r="35">
          <cell r="B35">
            <v>8569.2749999999996</v>
          </cell>
          <cell r="C35">
            <v>0.60638625000000002</v>
          </cell>
          <cell r="D35">
            <v>2.675000000000001E-2</v>
          </cell>
          <cell r="E35">
            <v>0.3675416666666666</v>
          </cell>
          <cell r="F35">
            <v>3.7458333333333357E-2</v>
          </cell>
          <cell r="G35">
            <v>6.2208333333333338E-2</v>
          </cell>
          <cell r="H35">
            <v>1.5416666666666674E-2</v>
          </cell>
          <cell r="I35">
            <v>1.491666666666667E-2</v>
          </cell>
          <cell r="J35">
            <v>4.7673750000000004</v>
          </cell>
          <cell r="K35">
            <v>89.595541666666676</v>
          </cell>
          <cell r="L35">
            <v>0.12616666666666665</v>
          </cell>
          <cell r="M35">
            <v>4.9859999999999998</v>
          </cell>
        </row>
        <row r="36">
          <cell r="B36">
            <v>8596.8437200000008</v>
          </cell>
          <cell r="C36">
            <v>0.60596319999999992</v>
          </cell>
          <cell r="D36">
            <v>1.9360000000000009E-2</v>
          </cell>
          <cell r="E36">
            <v>0.33207999999999999</v>
          </cell>
          <cell r="F36">
            <v>3.0480000000000014E-2</v>
          </cell>
          <cell r="G36">
            <v>4.8000000000000008E-2</v>
          </cell>
          <cell r="H36">
            <v>1.1680000000000006E-2</v>
          </cell>
          <cell r="I36">
            <v>1.1360000000000006E-2</v>
          </cell>
          <cell r="J36">
            <v>4.4539600000000004</v>
          </cell>
          <cell r="K36">
            <v>89.643719999999988</v>
          </cell>
          <cell r="L36">
            <v>0.17807999999999999</v>
          </cell>
          <cell r="M36">
            <v>5.2713199999999993</v>
          </cell>
        </row>
        <row r="37">
          <cell r="B37">
            <v>8653.8320833333346</v>
          </cell>
          <cell r="C37">
            <v>0.60265833333333341</v>
          </cell>
          <cell r="D37">
            <v>1.7916666666666671E-2</v>
          </cell>
          <cell r="E37">
            <v>0.30695833333333322</v>
          </cell>
          <cell r="F37">
            <v>2.920833333333335E-2</v>
          </cell>
          <cell r="G37">
            <v>4.6125000000000006E-2</v>
          </cell>
          <cell r="H37">
            <v>1.129166666666667E-2</v>
          </cell>
          <cell r="I37">
            <v>1.0833333333333335E-2</v>
          </cell>
          <cell r="J37">
            <v>3.6597916666666674</v>
          </cell>
          <cell r="K37">
            <v>90.453791666666675</v>
          </cell>
          <cell r="L37">
            <v>0.229375</v>
          </cell>
          <cell r="M37">
            <v>5.2347083333333337</v>
          </cell>
        </row>
        <row r="38">
          <cell r="B38">
            <v>8651.4188333333332</v>
          </cell>
          <cell r="C38">
            <v>0.60342416666666676</v>
          </cell>
          <cell r="D38">
            <v>2.2666666666666668E-2</v>
          </cell>
          <cell r="E38">
            <v>0.36137499999999995</v>
          </cell>
          <cell r="F38">
            <v>3.762500000000002E-2</v>
          </cell>
          <cell r="G38">
            <v>6.3166666666666677E-2</v>
          </cell>
          <cell r="H38">
            <v>1.5583333333333338E-2</v>
          </cell>
          <cell r="I38">
            <v>1.5625000000000003E-2</v>
          </cell>
          <cell r="J38">
            <v>3.7516666666666665</v>
          </cell>
          <cell r="K38">
            <v>90.437291666666667</v>
          </cell>
          <cell r="L38">
            <v>0.22695833333333329</v>
          </cell>
          <cell r="M38">
            <v>5.0674166666666665</v>
          </cell>
        </row>
        <row r="39">
          <cell r="B39">
            <v>8609.6007499999996</v>
          </cell>
          <cell r="C39">
            <v>0.60576458333333327</v>
          </cell>
          <cell r="D39">
            <v>2.1541666666666671E-2</v>
          </cell>
          <cell r="E39">
            <v>0.37545833333333328</v>
          </cell>
          <cell r="F39">
            <v>3.4333333333333355E-2</v>
          </cell>
          <cell r="G39">
            <v>5.6333333333333346E-2</v>
          </cell>
          <cell r="H39">
            <v>1.4125000000000007E-2</v>
          </cell>
          <cell r="I39">
            <v>1.3958333333333342E-2</v>
          </cell>
          <cell r="J39">
            <v>4.3144583333333317</v>
          </cell>
          <cell r="K39">
            <v>89.818791666666684</v>
          </cell>
          <cell r="L39">
            <v>0.19745833333333332</v>
          </cell>
          <cell r="M39">
            <v>5.1536666666666671</v>
          </cell>
        </row>
        <row r="40">
          <cell r="B40">
            <v>8567.9728333333314</v>
          </cell>
          <cell r="C40">
            <v>0.60685541666666676</v>
          </cell>
          <cell r="D40">
            <v>2.4083333333333345E-2</v>
          </cell>
          <cell r="E40">
            <v>0.35549999999999998</v>
          </cell>
          <cell r="F40">
            <v>3.4208333333333354E-2</v>
          </cell>
          <cell r="G40">
            <v>5.7208333333333361E-2</v>
          </cell>
          <cell r="H40">
            <v>1.4666666666666675E-2</v>
          </cell>
          <cell r="I40">
            <v>1.4875000000000008E-2</v>
          </cell>
          <cell r="J40">
            <v>4.7822500000000003</v>
          </cell>
          <cell r="K40">
            <v>89.476166666666686</v>
          </cell>
          <cell r="L40">
            <v>0.15187500000000001</v>
          </cell>
          <cell r="M40">
            <v>5.0889583333333333</v>
          </cell>
        </row>
        <row r="41">
          <cell r="B41">
            <v>8595.6913333333341</v>
          </cell>
          <cell r="C41">
            <v>0.60523333333333318</v>
          </cell>
          <cell r="D41">
            <v>2.170833333333334E-2</v>
          </cell>
          <cell r="E41">
            <v>0.32741666666666663</v>
          </cell>
          <cell r="F41">
            <v>3.0833333333333348E-2</v>
          </cell>
          <cell r="G41">
            <v>4.9458333333333333E-2</v>
          </cell>
          <cell r="H41">
            <v>1.2750000000000004E-2</v>
          </cell>
          <cell r="I41">
            <v>1.2500000000000006E-2</v>
          </cell>
          <cell r="J41">
            <v>4.417208333333333</v>
          </cell>
          <cell r="K41">
            <v>89.798625000000001</v>
          </cell>
          <cell r="L41">
            <v>0.16224999999999998</v>
          </cell>
          <cell r="M41">
            <v>5.1674999999999995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1151"/>
  <sheetViews>
    <sheetView zoomScale="90" zoomScaleNormal="90" workbookViewId="0">
      <selection activeCell="G73" sqref="G73"/>
    </sheetView>
  </sheetViews>
  <sheetFormatPr baseColWidth="10" defaultRowHeight="15" x14ac:dyDescent="0.25"/>
  <cols>
    <col min="1" max="1" width="16" bestFit="1" customWidth="1"/>
    <col min="2" max="2" width="12.7109375" customWidth="1"/>
    <col min="3" max="3" width="11.5703125" bestFit="1" customWidth="1"/>
    <col min="4" max="5" width="18.7109375" bestFit="1" customWidth="1"/>
    <col min="6" max="6" width="13" bestFit="1" customWidth="1"/>
    <col min="7" max="8" width="14.5703125" bestFit="1" customWidth="1"/>
    <col min="9" max="9" width="13.42578125" bestFit="1" customWidth="1"/>
    <col min="10" max="13" width="14.5703125" bestFit="1" customWidth="1"/>
    <col min="16" max="17" width="12" bestFit="1" customWidth="1"/>
    <col min="19" max="19" width="12" bestFit="1" customWidth="1"/>
    <col min="20" max="20" width="16.7109375" bestFit="1" customWidth="1"/>
    <col min="21" max="21" width="15.28515625" bestFit="1" customWidth="1"/>
    <col min="22" max="22" width="13" customWidth="1"/>
    <col min="25" max="25" width="17.7109375" customWidth="1"/>
    <col min="26" max="33" width="12" bestFit="1" customWidth="1"/>
  </cols>
  <sheetData>
    <row r="1" spans="1:34" x14ac:dyDescent="0.25">
      <c r="A1" s="160" t="s">
        <v>57</v>
      </c>
      <c r="B1" s="160"/>
      <c r="C1" s="55"/>
    </row>
    <row r="2" spans="1:34" x14ac:dyDescent="0.25">
      <c r="A2" s="161" t="s">
        <v>58</v>
      </c>
      <c r="B2" s="161"/>
      <c r="C2" s="161"/>
    </row>
    <row r="3" spans="1:34" ht="33.75" x14ac:dyDescent="0.5">
      <c r="D3" s="56"/>
      <c r="G3" s="57" t="s">
        <v>59</v>
      </c>
      <c r="H3" s="57"/>
      <c r="I3" s="57"/>
      <c r="J3" s="57"/>
      <c r="K3" s="57"/>
      <c r="L3" s="57"/>
    </row>
    <row r="4" spans="1:34" ht="15.75" thickBot="1" x14ac:dyDescent="0.3"/>
    <row r="5" spans="1:34" ht="15.75" thickBot="1" x14ac:dyDescent="0.3">
      <c r="V5" s="162" t="s">
        <v>60</v>
      </c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4"/>
    </row>
    <row r="6" spans="1:34" ht="15.75" thickBot="1" x14ac:dyDescent="0.3">
      <c r="B6" s="165" t="s">
        <v>61</v>
      </c>
      <c r="C6" s="166"/>
      <c r="D6" s="166"/>
      <c r="E6" s="166"/>
      <c r="F6" s="167"/>
      <c r="G6" s="165" t="s">
        <v>62</v>
      </c>
      <c r="H6" s="166"/>
      <c r="I6" s="166"/>
      <c r="J6" s="166"/>
      <c r="K6" s="166"/>
      <c r="L6" s="166"/>
      <c r="M6" s="166"/>
      <c r="N6" s="166"/>
      <c r="O6" s="166"/>
      <c r="P6" s="166"/>
      <c r="Q6" s="167"/>
      <c r="Y6" s="168" t="s">
        <v>63</v>
      </c>
      <c r="Z6" s="168"/>
      <c r="AA6" s="168"/>
      <c r="AB6" s="168"/>
      <c r="AC6" s="168"/>
      <c r="AD6" s="168"/>
      <c r="AE6" s="168"/>
      <c r="AF6" s="168"/>
      <c r="AG6" s="168"/>
      <c r="AH6" s="168"/>
    </row>
    <row r="7" spans="1:34" ht="18.75" x14ac:dyDescent="0.35">
      <c r="A7" s="58" t="s">
        <v>64</v>
      </c>
      <c r="B7" s="59" t="s">
        <v>65</v>
      </c>
      <c r="C7" s="59" t="s">
        <v>66</v>
      </c>
      <c r="D7" s="59" t="s">
        <v>67</v>
      </c>
      <c r="E7" s="59" t="s">
        <v>68</v>
      </c>
      <c r="F7" s="60" t="s">
        <v>69</v>
      </c>
      <c r="G7" s="170" t="s">
        <v>70</v>
      </c>
      <c r="H7" s="170"/>
      <c r="I7" s="170"/>
      <c r="J7" s="59" t="s">
        <v>123</v>
      </c>
      <c r="K7" s="59" t="s">
        <v>124</v>
      </c>
      <c r="L7" s="59" t="s">
        <v>125</v>
      </c>
      <c r="M7" s="171" t="s">
        <v>71</v>
      </c>
      <c r="N7" s="171"/>
      <c r="O7" s="171"/>
      <c r="P7" s="61" t="s">
        <v>72</v>
      </c>
      <c r="Q7" s="62" t="s">
        <v>73</v>
      </c>
      <c r="R7" s="59" t="s">
        <v>74</v>
      </c>
      <c r="S7" s="59" t="s">
        <v>75</v>
      </c>
      <c r="T7" s="59" t="s">
        <v>76</v>
      </c>
      <c r="U7" s="63" t="s">
        <v>77</v>
      </c>
      <c r="V7" s="59" t="s">
        <v>78</v>
      </c>
      <c r="W7" s="59" t="s">
        <v>79</v>
      </c>
      <c r="X7" s="59" t="s">
        <v>80</v>
      </c>
      <c r="Y7" s="64" t="s">
        <v>30</v>
      </c>
      <c r="Z7" s="64" t="s">
        <v>32</v>
      </c>
      <c r="AA7" s="64" t="s">
        <v>81</v>
      </c>
      <c r="AB7" s="64" t="s">
        <v>25</v>
      </c>
      <c r="AC7" s="64" t="s">
        <v>26</v>
      </c>
      <c r="AD7" s="64" t="s">
        <v>27</v>
      </c>
      <c r="AE7" s="64" t="s">
        <v>28</v>
      </c>
      <c r="AF7" s="64" t="s">
        <v>82</v>
      </c>
      <c r="AG7" s="64" t="s">
        <v>29</v>
      </c>
      <c r="AH7" s="65" t="s">
        <v>31</v>
      </c>
    </row>
    <row r="8" spans="1:34" x14ac:dyDescent="0.25">
      <c r="A8" s="66" t="s">
        <v>83</v>
      </c>
      <c r="B8" s="67">
        <v>4599</v>
      </c>
      <c r="C8" s="67">
        <f>+B8*1000</f>
        <v>4599000</v>
      </c>
      <c r="D8" s="67">
        <v>190.56</v>
      </c>
      <c r="E8" s="68">
        <v>1.15478E-2</v>
      </c>
      <c r="F8" s="69">
        <f>+E8*E8</f>
        <v>1.3335168484000001E-4</v>
      </c>
      <c r="G8" s="169">
        <f>(0.37464+(1.54226*E8)-(0.26992*F8))</f>
        <v>0.39241371574122796</v>
      </c>
      <c r="H8" s="169"/>
      <c r="I8" s="169"/>
      <c r="J8" s="69">
        <f t="shared" ref="J8:J17" si="0">287.18/D8</f>
        <v>1.507031905961377</v>
      </c>
      <c r="K8" s="69">
        <f>SQRT(J8)</f>
        <v>1.2276122783523213</v>
      </c>
      <c r="L8" s="70">
        <f>1-K8</f>
        <v>-0.22761227835232134</v>
      </c>
      <c r="M8" s="169">
        <f>+G8*L8</f>
        <v>-8.9318179896561087E-2</v>
      </c>
      <c r="N8" s="169"/>
      <c r="O8" s="169"/>
      <c r="P8" s="70">
        <f>+M8+1</f>
        <v>0.9106818201034389</v>
      </c>
      <c r="Q8" s="69">
        <f>+P8*P8</f>
        <v>0.82934137746691228</v>
      </c>
      <c r="R8" s="69">
        <f>(0.45724*8.31451*8.31451*D8*D8*Q8)/C8</f>
        <v>0.20699075492207086</v>
      </c>
      <c r="S8" s="70">
        <f>(0.0778*8.31451*D8)/C8</f>
        <v>2.6803073144527067E-5</v>
      </c>
      <c r="T8" s="154">
        <f>+K25</f>
        <v>0.88414249999999994</v>
      </c>
      <c r="U8" s="69">
        <f>+S8*T8</f>
        <v>2.369773609768502E-5</v>
      </c>
      <c r="V8" s="69">
        <f>+T8*T8</f>
        <v>0.78170796030624989</v>
      </c>
      <c r="W8" s="69">
        <f>$R$8*R8</f>
        <v>4.2845172623208805E-2</v>
      </c>
      <c r="X8" s="69">
        <f>SQRT(W8)</f>
        <v>0.20699075492207086</v>
      </c>
      <c r="Y8" s="70"/>
      <c r="Z8" s="70"/>
      <c r="AA8" s="70"/>
      <c r="AB8" s="70"/>
      <c r="AC8" s="70"/>
      <c r="AD8" s="70"/>
      <c r="AE8" s="70"/>
      <c r="AF8" s="70"/>
      <c r="AG8" s="70"/>
      <c r="AH8" s="71"/>
    </row>
    <row r="9" spans="1:34" x14ac:dyDescent="0.25">
      <c r="A9" s="66" t="s">
        <v>84</v>
      </c>
      <c r="B9" s="67">
        <v>4872</v>
      </c>
      <c r="C9" s="67">
        <f t="shared" ref="C9:C17" si="1">+B9*1000</f>
        <v>4872000</v>
      </c>
      <c r="D9" s="67">
        <v>305.32</v>
      </c>
      <c r="E9" s="68">
        <v>9.9492999999999998E-2</v>
      </c>
      <c r="F9" s="69">
        <f t="shared" ref="F9:F17" si="2">+E9*E9</f>
        <v>9.898857048999999E-3</v>
      </c>
      <c r="G9" s="169">
        <f t="shared" ref="G9:G17" si="3">(0.37464+(1.54226*E9)-(0.26992*F9))</f>
        <v>0.52541217468533385</v>
      </c>
      <c r="H9" s="169"/>
      <c r="I9" s="169"/>
      <c r="J9" s="69">
        <f t="shared" si="0"/>
        <v>0.94058692519323994</v>
      </c>
      <c r="K9" s="69">
        <f t="shared" ref="K9:K17" si="4">SQRT(J9)</f>
        <v>0.9698386078071134</v>
      </c>
      <c r="L9" s="70">
        <f t="shared" ref="L9:L17" si="5">1-K9</f>
        <v>3.0161392192886605E-2</v>
      </c>
      <c r="M9" s="169">
        <f t="shared" ref="M9:M17" si="6">+G9*L9</f>
        <v>1.58471626636018E-2</v>
      </c>
      <c r="N9" s="169"/>
      <c r="O9" s="169"/>
      <c r="P9" s="70">
        <f t="shared" ref="P9:P17" si="7">+M9+1</f>
        <v>1.0158471626636019</v>
      </c>
      <c r="Q9" s="69">
        <f t="shared" ref="Q9:Q17" si="8">+P9*P9</f>
        <v>1.0319454578916905</v>
      </c>
      <c r="R9" s="69">
        <f t="shared" ref="R9:R17" si="9">(0.45724*8.31451*8.31451*D9*D9*Q9)/C9</f>
        <v>0.62413352007250289</v>
      </c>
      <c r="S9" s="70">
        <f t="shared" ref="S9:S17" si="10">(0.0778*8.31451*D9)/C9</f>
        <v>4.0538178536732345E-5</v>
      </c>
      <c r="T9" s="154">
        <f>+M25</f>
        <v>7.2024999999999992E-2</v>
      </c>
      <c r="U9" s="69">
        <f t="shared" ref="U9:U17" si="11">+S9*T9</f>
        <v>2.919762309108147E-6</v>
      </c>
      <c r="V9" s="69">
        <f>+$T$8*T9</f>
        <v>6.3680363562499995E-2</v>
      </c>
      <c r="W9" s="69">
        <f>$R$8*R9</f>
        <v>0.12918986849197683</v>
      </c>
      <c r="X9" s="69">
        <f t="shared" ref="X9:X17" si="12">SQRT(W9)</f>
        <v>0.35942992153127268</v>
      </c>
      <c r="Y9" s="70">
        <f t="shared" ref="Y9:Y17" si="13">(($T$8*T9)*SQRT($R$8*R9))*(1-B60)</f>
        <v>2.2948138511356003E-2</v>
      </c>
      <c r="Z9" s="70"/>
      <c r="AA9" s="70"/>
      <c r="AB9" s="70"/>
      <c r="AC9" s="70"/>
      <c r="AD9" s="70"/>
      <c r="AE9" s="70"/>
      <c r="AF9" s="70"/>
      <c r="AG9" s="70"/>
      <c r="AH9" s="71"/>
    </row>
    <row r="10" spans="1:34" x14ac:dyDescent="0.25">
      <c r="A10" s="66" t="s">
        <v>85</v>
      </c>
      <c r="B10" s="67">
        <v>4248</v>
      </c>
      <c r="C10" s="67">
        <f t="shared" si="1"/>
        <v>4248000</v>
      </c>
      <c r="D10" s="67">
        <v>369.83</v>
      </c>
      <c r="E10" s="68">
        <v>0.15229100000000001</v>
      </c>
      <c r="F10" s="69">
        <f t="shared" si="2"/>
        <v>2.3192548681000003E-2</v>
      </c>
      <c r="G10" s="169">
        <f t="shared" si="3"/>
        <v>0.60325218492002441</v>
      </c>
      <c r="H10" s="169"/>
      <c r="I10" s="169"/>
      <c r="J10" s="69">
        <f t="shared" si="0"/>
        <v>0.77651894113511621</v>
      </c>
      <c r="K10" s="69">
        <f t="shared" si="4"/>
        <v>0.88120312138298529</v>
      </c>
      <c r="L10" s="70">
        <f t="shared" si="5"/>
        <v>0.11879687861701471</v>
      </c>
      <c r="M10" s="169">
        <f t="shared" si="6"/>
        <v>7.1664476587393056E-2</v>
      </c>
      <c r="N10" s="169"/>
      <c r="O10" s="169"/>
      <c r="P10" s="70">
        <f t="shared" si="7"/>
        <v>1.0716644765873931</v>
      </c>
      <c r="Q10" s="69">
        <f t="shared" si="8"/>
        <v>1.148464750379331</v>
      </c>
      <c r="R10" s="69">
        <f t="shared" si="9"/>
        <v>1.1688397507839925</v>
      </c>
      <c r="S10" s="70">
        <f t="shared" si="10"/>
        <v>5.6316270515710914E-5</v>
      </c>
      <c r="T10" s="154">
        <f>+E25</f>
        <v>4.2074999999999994E-3</v>
      </c>
      <c r="U10" s="69">
        <f t="shared" si="11"/>
        <v>2.3695070819485364E-7</v>
      </c>
      <c r="V10" s="69">
        <f t="shared" ref="V10:V17" si="14">+$T$8*T10</f>
        <v>3.7200295687499991E-3</v>
      </c>
      <c r="W10" s="69">
        <f t="shared" ref="W10:W17" si="15">$R$8*R10</f>
        <v>0.24193902239770376</v>
      </c>
      <c r="X10" s="69">
        <f t="shared" si="12"/>
        <v>0.49187297384355622</v>
      </c>
      <c r="Y10" s="70">
        <f t="shared" si="13"/>
        <v>1.8041650586722857E-3</v>
      </c>
      <c r="Z10" s="70">
        <f t="shared" ref="Z10:Z17" si="16">(($T$9*T10)*SQRT($R$9*R10))*(1-B61)</f>
        <v>2.5521168028217167E-4</v>
      </c>
      <c r="AA10" s="70"/>
      <c r="AB10" s="70"/>
      <c r="AC10" s="70"/>
      <c r="AD10" s="70"/>
      <c r="AE10" s="70"/>
      <c r="AF10" s="70"/>
      <c r="AG10" s="70"/>
      <c r="AH10" s="71"/>
    </row>
    <row r="11" spans="1:34" x14ac:dyDescent="0.25">
      <c r="A11" s="66" t="s">
        <v>86</v>
      </c>
      <c r="B11" s="67">
        <v>3796</v>
      </c>
      <c r="C11" s="67">
        <f t="shared" si="1"/>
        <v>3796000</v>
      </c>
      <c r="D11" s="67">
        <v>425.12</v>
      </c>
      <c r="E11" s="68">
        <v>0.20016400000000001</v>
      </c>
      <c r="F11" s="69">
        <f t="shared" si="2"/>
        <v>4.0065626896000003E-2</v>
      </c>
      <c r="G11" s="169">
        <f t="shared" si="3"/>
        <v>0.67253041662823154</v>
      </c>
      <c r="H11" s="169"/>
      <c r="I11" s="169"/>
      <c r="J11" s="69">
        <f t="shared" si="0"/>
        <v>0.6755269100489274</v>
      </c>
      <c r="K11" s="69">
        <f t="shared" si="4"/>
        <v>0.82190444094732051</v>
      </c>
      <c r="L11" s="70">
        <f t="shared" si="5"/>
        <v>0.17809555905267949</v>
      </c>
      <c r="M11" s="169">
        <f t="shared" si="6"/>
        <v>0.11977468052933635</v>
      </c>
      <c r="N11" s="169"/>
      <c r="O11" s="169"/>
      <c r="P11" s="70">
        <f t="shared" si="7"/>
        <v>1.1197746805293363</v>
      </c>
      <c r="Q11" s="69">
        <f t="shared" si="8"/>
        <v>1.2538953351545772</v>
      </c>
      <c r="R11" s="69">
        <f t="shared" si="9"/>
        <v>1.8870164803089673</v>
      </c>
      <c r="S11" s="70">
        <f t="shared" si="10"/>
        <v>7.2443861279072703E-5</v>
      </c>
      <c r="T11" s="154">
        <f>+G25</f>
        <v>3.8708333333333346E-4</v>
      </c>
      <c r="U11" s="69">
        <f t="shared" si="11"/>
        <v>2.804181130344107E-8</v>
      </c>
      <c r="V11" s="69">
        <f t="shared" si="14"/>
        <v>3.4223682604166676E-4</v>
      </c>
      <c r="W11" s="69">
        <f t="shared" si="15"/>
        <v>0.39059496580954223</v>
      </c>
      <c r="X11" s="69">
        <f t="shared" si="12"/>
        <v>0.62497597218576506</v>
      </c>
      <c r="Y11" s="70">
        <f t="shared" si="13"/>
        <v>2.0841421437048832E-4</v>
      </c>
      <c r="Z11" s="70">
        <f t="shared" si="16"/>
        <v>2.9481638383643363E-5</v>
      </c>
      <c r="AA11" s="70">
        <f t="shared" ref="AA11:AA17" si="17">(($T$10*U11)*SQRT($R$10*S11))*(1-C62)</f>
        <v>1.0929707447434067E-12</v>
      </c>
      <c r="AB11" s="70"/>
      <c r="AC11" s="70"/>
      <c r="AD11" s="70"/>
      <c r="AE11" s="70"/>
      <c r="AF11" s="70"/>
      <c r="AG11" s="70"/>
      <c r="AH11" s="71"/>
    </row>
    <row r="12" spans="1:34" x14ac:dyDescent="0.25">
      <c r="A12" s="66" t="s">
        <v>87</v>
      </c>
      <c r="B12" s="67">
        <v>3640</v>
      </c>
      <c r="C12" s="67">
        <f t="shared" si="1"/>
        <v>3640000</v>
      </c>
      <c r="D12" s="67">
        <v>407.8</v>
      </c>
      <c r="E12" s="68">
        <v>0.18352099999999999</v>
      </c>
      <c r="F12" s="69">
        <f t="shared" si="2"/>
        <v>3.3679957440999997E-2</v>
      </c>
      <c r="G12" s="169">
        <f t="shared" si="3"/>
        <v>0.64858620334752515</v>
      </c>
      <c r="H12" s="169"/>
      <c r="I12" s="169"/>
      <c r="J12" s="69">
        <f t="shared" si="0"/>
        <v>0.70421775380088281</v>
      </c>
      <c r="K12" s="69">
        <f t="shared" si="4"/>
        <v>0.83917683106773322</v>
      </c>
      <c r="L12" s="70">
        <f t="shared" si="5"/>
        <v>0.16082316893226678</v>
      </c>
      <c r="M12" s="169">
        <f t="shared" si="6"/>
        <v>0.10430768854809656</v>
      </c>
      <c r="N12" s="169"/>
      <c r="O12" s="169"/>
      <c r="P12" s="70">
        <f t="shared" si="7"/>
        <v>1.1043076885480965</v>
      </c>
      <c r="Q12" s="69">
        <f t="shared" si="8"/>
        <v>1.2194954709864396</v>
      </c>
      <c r="R12" s="69">
        <f t="shared" si="9"/>
        <v>1.7611274529267422</v>
      </c>
      <c r="S12" s="70">
        <f t="shared" si="10"/>
        <v>7.2470639683626357E-5</v>
      </c>
      <c r="T12" s="154">
        <f>+F25</f>
        <v>2.970833333333335E-4</v>
      </c>
      <c r="U12" s="69">
        <f t="shared" si="11"/>
        <v>2.1529819206010675E-8</v>
      </c>
      <c r="V12" s="69">
        <f t="shared" si="14"/>
        <v>2.6266400104166677E-4</v>
      </c>
      <c r="W12" s="69">
        <f t="shared" si="15"/>
        <v>0.36453710099529019</v>
      </c>
      <c r="X12" s="69">
        <f t="shared" si="12"/>
        <v>0.60376907919774281</v>
      </c>
      <c r="Y12" s="70">
        <f t="shared" si="13"/>
        <v>1.5647917630009272E-4</v>
      </c>
      <c r="Z12" s="70">
        <f t="shared" si="16"/>
        <v>2.2135066478953914E-5</v>
      </c>
      <c r="AA12" s="70">
        <f t="shared" si="17"/>
        <v>8.25721652627519E-13</v>
      </c>
      <c r="AB12" s="70">
        <f t="shared" ref="AB12:AB17" si="18">(($T$11*V12)*SQRT($R$11*T12))*(1-D63)</f>
        <v>2.3993658680912023E-9</v>
      </c>
      <c r="AC12" s="70"/>
      <c r="AD12" s="70"/>
      <c r="AE12" s="70"/>
      <c r="AF12" s="70"/>
      <c r="AG12" s="70"/>
      <c r="AH12" s="71"/>
    </row>
    <row r="13" spans="1:34" x14ac:dyDescent="0.25">
      <c r="A13" s="66" t="s">
        <v>88</v>
      </c>
      <c r="B13" s="67">
        <v>3370</v>
      </c>
      <c r="C13" s="67">
        <f t="shared" si="1"/>
        <v>3370000</v>
      </c>
      <c r="D13" s="67">
        <v>469.7</v>
      </c>
      <c r="E13" s="68">
        <v>0.25150600000000001</v>
      </c>
      <c r="F13" s="69">
        <f t="shared" si="2"/>
        <v>6.3255268035999998E-2</v>
      </c>
      <c r="G13" s="169">
        <f t="shared" si="3"/>
        <v>0.74545378161172282</v>
      </c>
      <c r="H13" s="169"/>
      <c r="I13" s="169"/>
      <c r="J13" s="69">
        <f t="shared" si="0"/>
        <v>0.61141153928039171</v>
      </c>
      <c r="K13" s="69">
        <f t="shared" si="4"/>
        <v>0.78192809086283099</v>
      </c>
      <c r="L13" s="70">
        <f t="shared" si="5"/>
        <v>0.21807190913716901</v>
      </c>
      <c r="M13" s="169">
        <f t="shared" si="6"/>
        <v>0.16256252932959064</v>
      </c>
      <c r="N13" s="169"/>
      <c r="O13" s="169"/>
      <c r="P13" s="70">
        <f t="shared" si="7"/>
        <v>1.1625625293295907</v>
      </c>
      <c r="Q13" s="69">
        <f t="shared" si="8"/>
        <v>1.3515516346012155</v>
      </c>
      <c r="R13" s="69">
        <f t="shared" si="9"/>
        <v>2.796799914325856</v>
      </c>
      <c r="S13" s="70">
        <f t="shared" si="10"/>
        <v>9.0158549553887233E-5</v>
      </c>
      <c r="T13" s="154">
        <f>+I25</f>
        <v>4.0416666666666682E-5</v>
      </c>
      <c r="U13" s="69">
        <f t="shared" si="11"/>
        <v>3.6439080444696105E-9</v>
      </c>
      <c r="V13" s="69">
        <f t="shared" si="14"/>
        <v>3.5734092708333347E-5</v>
      </c>
      <c r="W13" s="69">
        <f t="shared" si="15"/>
        <v>0.57891172563229198</v>
      </c>
      <c r="X13" s="69">
        <f t="shared" si="12"/>
        <v>0.76086248799128742</v>
      </c>
      <c r="Y13" s="70">
        <f t="shared" si="13"/>
        <v>2.7340987576005209E-5</v>
      </c>
      <c r="Z13" s="70">
        <f t="shared" si="16"/>
        <v>3.8675726183175819E-6</v>
      </c>
      <c r="AA13" s="70">
        <f t="shared" si="17"/>
        <v>1.573883122029779E-13</v>
      </c>
      <c r="AB13" s="70">
        <f t="shared" si="18"/>
        <v>1.1945592671360862E-10</v>
      </c>
      <c r="AC13" s="70">
        <f>(($T$12*W13)*SQRT($R$12*U13))*(1-E64)</f>
        <v>1.3777478189805092E-8</v>
      </c>
      <c r="AD13" s="70"/>
      <c r="AE13" s="70"/>
      <c r="AF13" s="70"/>
      <c r="AG13" s="70"/>
      <c r="AH13" s="71"/>
    </row>
    <row r="14" spans="1:34" x14ac:dyDescent="0.25">
      <c r="A14" s="66" t="s">
        <v>89</v>
      </c>
      <c r="B14" s="67">
        <v>3380</v>
      </c>
      <c r="C14" s="67">
        <f t="shared" si="1"/>
        <v>3380000</v>
      </c>
      <c r="D14" s="67">
        <v>460.4</v>
      </c>
      <c r="E14" s="68">
        <v>0.22787499999999999</v>
      </c>
      <c r="F14" s="69">
        <f t="shared" si="2"/>
        <v>5.1927015624999996E-2</v>
      </c>
      <c r="G14" s="169">
        <f t="shared" si="3"/>
        <v>0.71206635744250002</v>
      </c>
      <c r="H14" s="169"/>
      <c r="I14" s="169"/>
      <c r="J14" s="69">
        <f t="shared" si="0"/>
        <v>0.62376194613379676</v>
      </c>
      <c r="K14" s="69">
        <f t="shared" si="4"/>
        <v>0.78978601287551098</v>
      </c>
      <c r="L14" s="70">
        <f t="shared" si="5"/>
        <v>0.21021398712448902</v>
      </c>
      <c r="M14" s="169">
        <f t="shared" si="6"/>
        <v>0.14968630809519951</v>
      </c>
      <c r="N14" s="169"/>
      <c r="O14" s="169"/>
      <c r="P14" s="70">
        <f t="shared" si="7"/>
        <v>1.1496863080951996</v>
      </c>
      <c r="Q14" s="69">
        <f t="shared" si="8"/>
        <v>1.32177860702157</v>
      </c>
      <c r="R14" s="69">
        <f t="shared" si="9"/>
        <v>2.6201743100927226</v>
      </c>
      <c r="S14" s="70">
        <f t="shared" si="10"/>
        <v>8.8111961961893467E-5</v>
      </c>
      <c r="T14" s="154">
        <f>+H25</f>
        <v>5.4583333333333357E-5</v>
      </c>
      <c r="U14" s="69">
        <f t="shared" si="11"/>
        <v>4.8094445904200207E-9</v>
      </c>
      <c r="V14" s="69">
        <f t="shared" si="14"/>
        <v>4.8259444791666687E-5</v>
      </c>
      <c r="W14" s="69">
        <f t="shared" si="15"/>
        <v>0.54235185847350886</v>
      </c>
      <c r="X14" s="69">
        <f t="shared" si="12"/>
        <v>0.73644542124553181</v>
      </c>
      <c r="Y14" s="70">
        <f t="shared" si="13"/>
        <v>3.4723016864254946E-5</v>
      </c>
      <c r="Z14" s="70">
        <f t="shared" si="16"/>
        <v>4.9118119408177483E-6</v>
      </c>
      <c r="AA14" s="70">
        <f t="shared" si="17"/>
        <v>2.0375730850761047E-13</v>
      </c>
      <c r="AB14" s="70">
        <f t="shared" si="18"/>
        <v>1.8452337540806713E-10</v>
      </c>
      <c r="AC14" s="70">
        <f>(($T$12*W14)*SQRT($R$12*U14))*(1-E65)</f>
        <v>1.4828672619711849E-8</v>
      </c>
      <c r="AD14" s="70">
        <f>(($T$13*X14)*SQRT($R$13*V14))*(1-F65)</f>
        <v>3.4579835130848764E-7</v>
      </c>
      <c r="AE14" s="70"/>
      <c r="AF14" s="70"/>
      <c r="AG14" s="70"/>
      <c r="AH14" s="71"/>
    </row>
    <row r="15" spans="1:34" x14ac:dyDescent="0.25">
      <c r="A15" s="66" t="s">
        <v>90</v>
      </c>
      <c r="B15" s="67">
        <v>3025</v>
      </c>
      <c r="C15" s="67">
        <f t="shared" si="1"/>
        <v>3025000</v>
      </c>
      <c r="D15" s="67">
        <v>507.6</v>
      </c>
      <c r="E15" s="68">
        <v>0.301261</v>
      </c>
      <c r="F15" s="69">
        <f t="shared" si="2"/>
        <v>9.0758190121000004E-2</v>
      </c>
      <c r="G15" s="169">
        <f t="shared" si="3"/>
        <v>0.81476533918253968</v>
      </c>
      <c r="H15" s="169"/>
      <c r="I15" s="169"/>
      <c r="J15" s="69">
        <f t="shared" si="0"/>
        <v>0.56576044129235614</v>
      </c>
      <c r="K15" s="69">
        <f t="shared" si="4"/>
        <v>0.75217048685278531</v>
      </c>
      <c r="L15" s="70">
        <f t="shared" si="5"/>
        <v>0.24782951314721469</v>
      </c>
      <c r="M15" s="169">
        <f t="shared" si="6"/>
        <v>0.20192289733883406</v>
      </c>
      <c r="N15" s="169"/>
      <c r="O15" s="169"/>
      <c r="P15" s="70">
        <f t="shared" si="7"/>
        <v>1.2019228973388341</v>
      </c>
      <c r="Q15" s="69">
        <f t="shared" si="8"/>
        <v>1.4446186511473775</v>
      </c>
      <c r="R15" s="69">
        <f t="shared" si="9"/>
        <v>3.8894536598562732</v>
      </c>
      <c r="S15" s="70">
        <f t="shared" si="10"/>
        <v>1.0854566693315701E-4</v>
      </c>
      <c r="T15" s="154">
        <f>+D25</f>
        <v>1.1375000000000003E-4</v>
      </c>
      <c r="U15" s="69">
        <f t="shared" si="11"/>
        <v>1.2347069613646613E-8</v>
      </c>
      <c r="V15" s="69">
        <f t="shared" si="14"/>
        <v>1.0057120937500001E-4</v>
      </c>
      <c r="W15" s="69">
        <f t="shared" si="15"/>
        <v>0.8050809492880614</v>
      </c>
      <c r="X15" s="69">
        <f t="shared" si="12"/>
        <v>0.89726303238685889</v>
      </c>
      <c r="Y15" s="70">
        <f t="shared" si="13"/>
        <v>8.6430749740592984E-5</v>
      </c>
      <c r="Z15" s="70">
        <f t="shared" si="16"/>
        <v>1.2226229946819579E-5</v>
      </c>
      <c r="AA15" s="70">
        <f t="shared" si="17"/>
        <v>5.9100768394039353E-13</v>
      </c>
      <c r="AB15" s="70">
        <f t="shared" si="18"/>
        <v>5.6995108071868629E-10</v>
      </c>
      <c r="AC15" s="70">
        <f>(($T$12*W15)*SQRT($R$12*U15))*(1-E66)</f>
        <v>3.5269165178294605E-8</v>
      </c>
      <c r="AD15" s="70">
        <f>(($T$13*X15)*SQRT($R$13*V15))*(1-F66)</f>
        <v>6.1160787309066955E-7</v>
      </c>
      <c r="AE15" s="70">
        <f>(($T$14*Y15)*SQRT($R$14*W15))*(1-G66)</f>
        <v>6.8519344779774946E-9</v>
      </c>
      <c r="AF15" s="70"/>
      <c r="AG15" s="70"/>
      <c r="AH15" s="71"/>
    </row>
    <row r="16" spans="1:34" x14ac:dyDescent="0.25">
      <c r="A16" s="66" t="s">
        <v>91</v>
      </c>
      <c r="B16" s="67">
        <v>3400</v>
      </c>
      <c r="C16" s="67">
        <f t="shared" si="1"/>
        <v>3400000</v>
      </c>
      <c r="D16" s="67">
        <v>126.2</v>
      </c>
      <c r="E16" s="68">
        <v>3.7721499999999998E-2</v>
      </c>
      <c r="F16" s="69">
        <f t="shared" si="2"/>
        <v>1.4229115622499998E-3</v>
      </c>
      <c r="G16" s="169">
        <f t="shared" si="3"/>
        <v>0.43243228830111741</v>
      </c>
      <c r="H16" s="169"/>
      <c r="I16" s="169"/>
      <c r="J16" s="69">
        <f t="shared" si="0"/>
        <v>2.2755942947702059</v>
      </c>
      <c r="K16" s="69">
        <f t="shared" si="4"/>
        <v>1.5085073068335486</v>
      </c>
      <c r="L16" s="70">
        <f t="shared" si="5"/>
        <v>-0.50850730683354861</v>
      </c>
      <c r="M16" s="169">
        <f t="shared" si="6"/>
        <v>-0.21989497831186985</v>
      </c>
      <c r="N16" s="169"/>
      <c r="O16" s="169"/>
      <c r="P16" s="70">
        <f t="shared" si="7"/>
        <v>0.78010502168813012</v>
      </c>
      <c r="Q16" s="69">
        <f t="shared" si="8"/>
        <v>0.60856384486303794</v>
      </c>
      <c r="R16" s="69">
        <f t="shared" si="9"/>
        <v>9.0108026046787137E-2</v>
      </c>
      <c r="S16" s="70">
        <f t="shared" si="10"/>
        <v>2.4010250706941175E-5</v>
      </c>
      <c r="T16" s="154">
        <f>+J25</f>
        <v>3.6782499999999996E-2</v>
      </c>
      <c r="U16" s="69">
        <f t="shared" si="11"/>
        <v>8.8315704662806361E-7</v>
      </c>
      <c r="V16" s="69">
        <f t="shared" si="14"/>
        <v>3.2520971506249996E-2</v>
      </c>
      <c r="W16" s="69">
        <f t="shared" si="15"/>
        <v>1.8651528335962096E-2</v>
      </c>
      <c r="X16" s="69">
        <f t="shared" si="12"/>
        <v>0.13657059835836591</v>
      </c>
      <c r="Y16" s="70">
        <f t="shared" si="13"/>
        <v>4.3032807322782272E-3</v>
      </c>
      <c r="Z16" s="70">
        <f t="shared" si="16"/>
        <v>6.0872895255982757E-4</v>
      </c>
      <c r="AA16" s="70">
        <f t="shared" si="17"/>
        <v>1.8671329031095361E-11</v>
      </c>
      <c r="AB16" s="70">
        <f t="shared" si="18"/>
        <v>3.0339093995800996E-6</v>
      </c>
      <c r="AC16" s="70">
        <f>(($T$12*W16)*SQRT($R$12*U16))*(1-E67)</f>
        <v>6.1966111628355031E-9</v>
      </c>
      <c r="AD16" s="70">
        <f>(($T$13*X16)*SQRT($R$13*V16))*(1-F67)</f>
        <v>1.531503474297368E-6</v>
      </c>
      <c r="AE16" s="70">
        <f>(($T$14*Y16)*SQRT($R$14*W16))*(1-G67)</f>
        <v>4.7138115439940577E-8</v>
      </c>
      <c r="AF16" s="70">
        <f>(($T$15*Z16)*SQRT($R$15*X16))*(1-H67)</f>
        <v>4.5419335905028978E-8</v>
      </c>
      <c r="AG16" s="70"/>
      <c r="AH16" s="71"/>
    </row>
    <row r="17" spans="1:35" ht="24" x14ac:dyDescent="0.25">
      <c r="A17" s="66" t="s">
        <v>92</v>
      </c>
      <c r="B17" s="155">
        <v>7383</v>
      </c>
      <c r="C17" s="155">
        <f t="shared" si="1"/>
        <v>7383000</v>
      </c>
      <c r="D17" s="155">
        <v>304.20999999999998</v>
      </c>
      <c r="E17" s="156">
        <v>0.22362099999999999</v>
      </c>
      <c r="F17" s="157">
        <f t="shared" si="2"/>
        <v>5.0006351640999994E-2</v>
      </c>
      <c r="G17" s="172">
        <f t="shared" si="3"/>
        <v>0.70602400902506124</v>
      </c>
      <c r="H17" s="172"/>
      <c r="I17" s="172"/>
      <c r="J17" s="157">
        <f t="shared" si="0"/>
        <v>0.94401893428881378</v>
      </c>
      <c r="K17" s="157">
        <f t="shared" si="4"/>
        <v>0.97160636797461031</v>
      </c>
      <c r="L17" s="158">
        <f t="shared" si="5"/>
        <v>2.8393632025389692E-2</v>
      </c>
      <c r="M17" s="172">
        <f t="shared" si="6"/>
        <v>2.0046585913348E-2</v>
      </c>
      <c r="N17" s="172"/>
      <c r="O17" s="172"/>
      <c r="P17" s="158">
        <f t="shared" si="7"/>
        <v>1.0200465859133481</v>
      </c>
      <c r="Q17" s="157">
        <f t="shared" si="8"/>
        <v>1.0404950374334774</v>
      </c>
      <c r="R17" s="157">
        <f t="shared" si="9"/>
        <v>0.41226043105750082</v>
      </c>
      <c r="S17" s="158">
        <f t="shared" si="10"/>
        <v>2.6653661299794117E-5</v>
      </c>
      <c r="T17" s="159">
        <f>+L25</f>
        <v>1.9445833333333331E-3</v>
      </c>
      <c r="U17" s="157">
        <f t="shared" si="11"/>
        <v>5.1830265535891306E-8</v>
      </c>
      <c r="V17" s="157">
        <f t="shared" si="14"/>
        <v>1.7192887697916664E-3</v>
      </c>
      <c r="W17" s="157">
        <f t="shared" si="15"/>
        <v>8.5334097849090448E-2</v>
      </c>
      <c r="X17" s="157">
        <f t="shared" si="12"/>
        <v>0.29212000590355064</v>
      </c>
      <c r="Y17" s="158">
        <f t="shared" si="13"/>
        <v>4.5608291405251463E-4</v>
      </c>
      <c r="Z17" s="158">
        <f t="shared" si="16"/>
        <v>6.4516096398070384E-5</v>
      </c>
      <c r="AA17" s="158">
        <f t="shared" si="17"/>
        <v>1.0562899021559454E-12</v>
      </c>
      <c r="AB17" s="158">
        <f t="shared" si="18"/>
        <v>3.5310913353378393E-8</v>
      </c>
      <c r="AC17" s="158">
        <f>(($T$12*W17)*SQRT($R$12*U17))*(1-E68)</f>
        <v>6.7401672342543447E-9</v>
      </c>
      <c r="AD17" s="158">
        <f>(($T$13*X17)*SQRT($R$13*V17))*(1-F68)</f>
        <v>7.095707454924815E-7</v>
      </c>
      <c r="AE17" s="158">
        <f>(($T$14*Y17)*SQRT($R$14*W17))*(1-G68)</f>
        <v>9.1935085334370607E-9</v>
      </c>
      <c r="AF17" s="158">
        <f>(($T$15*Z17)*SQRT($R$15*X17))*(1-H68)</f>
        <v>6.8665725831590236E-9</v>
      </c>
      <c r="AG17" s="158">
        <f>(($T$16*AA17)*SQRT($R$16*Y17))*(1-I68)</f>
        <v>2.2167566386207589E-16</v>
      </c>
      <c r="AH17" s="71"/>
    </row>
    <row r="18" spans="1:35" ht="15.75" thickBot="1" x14ac:dyDescent="0.3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 t="s">
        <v>77</v>
      </c>
      <c r="U18" s="75">
        <f>SUM(U8:U17)</f>
        <v>2.7859808479909961E-5</v>
      </c>
      <c r="V18" s="73"/>
      <c r="W18" s="73"/>
      <c r="X18" s="73"/>
      <c r="Y18" s="76">
        <f>SUM(Y9:Y17)</f>
        <v>3.0025055361210463E-2</v>
      </c>
      <c r="Z18" s="76">
        <f t="shared" ref="Z18:AG18" si="19">SUM(Z9:Z17)</f>
        <v>1.0010790486086219E-3</v>
      </c>
      <c r="AA18" s="76">
        <f t="shared" si="19"/>
        <v>2.2598464635273211E-11</v>
      </c>
      <c r="AB18" s="76">
        <f t="shared" si="19"/>
        <v>3.0724936091844095E-6</v>
      </c>
      <c r="AC18" s="76">
        <f t="shared" si="19"/>
        <v>7.681209438490139E-8</v>
      </c>
      <c r="AD18" s="76">
        <f t="shared" si="19"/>
        <v>3.1984804441890067E-6</v>
      </c>
      <c r="AE18" s="76">
        <f t="shared" si="19"/>
        <v>6.3183558451355128E-8</v>
      </c>
      <c r="AF18" s="76">
        <f t="shared" si="19"/>
        <v>5.2285908488188001E-8</v>
      </c>
      <c r="AG18" s="76">
        <f t="shared" si="19"/>
        <v>2.2167566386207589E-16</v>
      </c>
      <c r="AH18" s="77">
        <f>SUM(Y18:AG18)</f>
        <v>3.103259768803247E-2</v>
      </c>
      <c r="AI18" s="78" t="s">
        <v>93</v>
      </c>
    </row>
    <row r="20" spans="1:35" ht="19.5" thickBot="1" x14ac:dyDescent="0.35">
      <c r="B20" s="79" t="s">
        <v>94</v>
      </c>
    </row>
    <row r="21" spans="1:35" ht="15.75" thickBot="1" x14ac:dyDescent="0.3">
      <c r="A21" s="173" t="s">
        <v>7</v>
      </c>
      <c r="B21" s="80" t="s">
        <v>95</v>
      </c>
      <c r="C21" s="81" t="s">
        <v>96</v>
      </c>
      <c r="D21" s="82" t="s">
        <v>10</v>
      </c>
      <c r="E21" s="82"/>
      <c r="F21" s="82"/>
      <c r="G21" s="82"/>
      <c r="H21" s="82"/>
      <c r="I21" s="82"/>
      <c r="J21" s="82"/>
      <c r="K21" s="82"/>
      <c r="L21" s="82"/>
      <c r="M21" s="83"/>
    </row>
    <row r="22" spans="1:35" ht="15.75" thickBot="1" x14ac:dyDescent="0.3">
      <c r="A22" s="174"/>
      <c r="B22" s="84" t="s">
        <v>97</v>
      </c>
      <c r="C22" s="85" t="s">
        <v>98</v>
      </c>
      <c r="D22" s="86" t="s">
        <v>23</v>
      </c>
      <c r="E22" s="87" t="s">
        <v>24</v>
      </c>
      <c r="F22" s="87" t="s">
        <v>25</v>
      </c>
      <c r="G22" s="87" t="s">
        <v>26</v>
      </c>
      <c r="H22" s="87" t="s">
        <v>27</v>
      </c>
      <c r="I22" s="87" t="s">
        <v>28</v>
      </c>
      <c r="J22" s="88" t="s">
        <v>29</v>
      </c>
      <c r="K22" s="87" t="s">
        <v>30</v>
      </c>
      <c r="L22" s="87" t="s">
        <v>31</v>
      </c>
      <c r="M22" s="89" t="s">
        <v>32</v>
      </c>
      <c r="T22" s="90" t="s">
        <v>99</v>
      </c>
      <c r="U22" s="91"/>
      <c r="V22" s="91"/>
      <c r="W22" s="91"/>
      <c r="X22" s="91"/>
      <c r="Y22" s="91"/>
      <c r="Z22" s="91"/>
      <c r="AA22" s="91"/>
      <c r="AB22" s="92"/>
    </row>
    <row r="23" spans="1:35" ht="15.75" thickBot="1" x14ac:dyDescent="0.3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T23" s="95" t="s">
        <v>100</v>
      </c>
      <c r="U23" s="96">
        <f>+AH18</f>
        <v>3.103259768803247E-2</v>
      </c>
      <c r="V23" s="96" t="s">
        <v>101</v>
      </c>
      <c r="W23" s="97"/>
      <c r="X23" s="98"/>
      <c r="Y23" s="98"/>
      <c r="Z23" s="98"/>
      <c r="AA23" s="98"/>
      <c r="AB23" s="99"/>
    </row>
    <row r="24" spans="1:35" ht="15.75" thickBot="1" x14ac:dyDescent="0.3">
      <c r="A24" s="100">
        <v>1</v>
      </c>
      <c r="B24" s="101">
        <v>46.31</v>
      </c>
      <c r="C24" s="101">
        <v>17.41</v>
      </c>
      <c r="D24" s="102">
        <f>Hoja1!D11/100</f>
        <v>1.0333333333333336E-4</v>
      </c>
      <c r="E24" s="102">
        <f>Hoja1!E11/100</f>
        <v>4.3495833333333338E-3</v>
      </c>
      <c r="F24" s="102">
        <f>Hoja1!F11/100</f>
        <v>2.9333333333333349E-4</v>
      </c>
      <c r="G24" s="102">
        <f>Hoja1!G11/100</f>
        <v>3.8250000000000014E-4</v>
      </c>
      <c r="H24" s="102">
        <f>Hoja1!H11/100</f>
        <v>5.2500000000000023E-5</v>
      </c>
      <c r="I24" s="102">
        <f>Hoja1!I11/100</f>
        <v>3.5833333333333348E-5</v>
      </c>
      <c r="J24" s="102">
        <f>Hoja1!J11/100</f>
        <v>3.5912916666666669E-2</v>
      </c>
      <c r="K24" s="102">
        <f>Hoja1!K11/100</f>
        <v>0.88471916666666672</v>
      </c>
      <c r="L24" s="102">
        <f>Hoja1!L11/100</f>
        <v>2.0233333333333336E-3</v>
      </c>
      <c r="M24" s="102">
        <f>Hoja1!M11/100</f>
        <v>7.2127499999999983E-2</v>
      </c>
      <c r="O24" s="103" t="s">
        <v>102</v>
      </c>
      <c r="P24" s="104"/>
      <c r="Q24" s="104"/>
      <c r="R24" s="104"/>
      <c r="T24" s="95" t="s">
        <v>103</v>
      </c>
      <c r="U24" s="96">
        <f>+U18</f>
        <v>2.7859808479909961E-5</v>
      </c>
      <c r="V24" s="96" t="s">
        <v>101</v>
      </c>
      <c r="W24" s="98"/>
      <c r="X24" s="98"/>
      <c r="Y24" s="98"/>
      <c r="Z24" s="105">
        <f>(U28*U28)+(2*U24*U28)-(U24*U24)</f>
        <v>2.8794678695490775E-7</v>
      </c>
      <c r="AA24" s="98"/>
      <c r="AB24" s="99"/>
    </row>
    <row r="25" spans="1:35" ht="15.75" thickBot="1" x14ac:dyDescent="0.3">
      <c r="A25" s="106">
        <v>2</v>
      </c>
      <c r="B25" s="107">
        <v>45.51</v>
      </c>
      <c r="C25" s="107">
        <v>17.350000000000001</v>
      </c>
      <c r="D25" s="102">
        <f>Hoja1!D12/100</f>
        <v>1.1375000000000003E-4</v>
      </c>
      <c r="E25" s="102">
        <f>Hoja1!E12/100</f>
        <v>4.2074999999999994E-3</v>
      </c>
      <c r="F25" s="102">
        <f>Hoja1!F12/100</f>
        <v>2.970833333333335E-4</v>
      </c>
      <c r="G25" s="102">
        <f>Hoja1!G12/100</f>
        <v>3.8708333333333346E-4</v>
      </c>
      <c r="H25" s="102">
        <f>Hoja1!H12/100</f>
        <v>5.4583333333333357E-5</v>
      </c>
      <c r="I25" s="102">
        <f>Hoja1!I12/100</f>
        <v>4.0416666666666682E-5</v>
      </c>
      <c r="J25" s="102">
        <f>Hoja1!J12/100</f>
        <v>3.6782499999999996E-2</v>
      </c>
      <c r="K25" s="102">
        <f>Hoja1!K12/100</f>
        <v>0.88414249999999994</v>
      </c>
      <c r="L25" s="102">
        <f>Hoja1!L12/100</f>
        <v>1.9445833333333331E-3</v>
      </c>
      <c r="M25" s="102">
        <f>Hoja1!M12/100</f>
        <v>7.2024999999999992E-2</v>
      </c>
      <c r="O25" s="108"/>
      <c r="P25" s="108"/>
      <c r="Q25" s="108"/>
      <c r="R25" s="108"/>
      <c r="T25" s="95" t="s">
        <v>104</v>
      </c>
      <c r="U25" s="96">
        <v>8.3145100000000003</v>
      </c>
      <c r="V25" s="96" t="s">
        <v>105</v>
      </c>
      <c r="W25" s="98"/>
      <c r="X25" s="98"/>
      <c r="Y25" s="98"/>
      <c r="Z25" s="105"/>
      <c r="AA25" s="98"/>
      <c r="AB25" s="99"/>
    </row>
    <row r="26" spans="1:35" ht="15.75" thickBot="1" x14ac:dyDescent="0.3">
      <c r="A26" s="106">
        <v>3</v>
      </c>
      <c r="B26" s="107">
        <v>44.78</v>
      </c>
      <c r="C26" s="107">
        <v>17.260000000000002</v>
      </c>
      <c r="D26" s="102">
        <f>Hoja1!D13/100</f>
        <v>1.2208333333333336E-4</v>
      </c>
      <c r="E26" s="102">
        <f>Hoja1!E13/100</f>
        <v>4.1308333333333344E-3</v>
      </c>
      <c r="F26" s="102">
        <f>Hoja1!F13/100</f>
        <v>3.1541666666666681E-4</v>
      </c>
      <c r="G26" s="102">
        <f>Hoja1!G13/100</f>
        <v>3.8666666666666683E-4</v>
      </c>
      <c r="H26" s="102">
        <f>Hoja1!H13/100</f>
        <v>5.7916666666666681E-5</v>
      </c>
      <c r="I26" s="102">
        <f>Hoja1!I13/100</f>
        <v>4.1250000000000013E-5</v>
      </c>
      <c r="J26" s="102">
        <f>Hoja1!J13/100</f>
        <v>3.7412916666666664E-2</v>
      </c>
      <c r="K26" s="102">
        <f>Hoja1!K13/100</f>
        <v>0.88607750000000007</v>
      </c>
      <c r="L26" s="102">
        <f>Hoja1!L13/100</f>
        <v>1.9479166666666666E-3</v>
      </c>
      <c r="M26" s="102">
        <f>Hoja1!M13/100</f>
        <v>6.9508333333333325E-2</v>
      </c>
      <c r="O26" s="108"/>
      <c r="P26" s="108"/>
      <c r="Q26" s="108"/>
      <c r="R26" s="108"/>
      <c r="T26" s="95" t="s">
        <v>106</v>
      </c>
      <c r="U26" s="109">
        <f>B27*98066.5</f>
        <v>4640506.78</v>
      </c>
      <c r="V26" s="110" t="s">
        <v>107</v>
      </c>
      <c r="W26" s="98"/>
      <c r="X26" s="98"/>
      <c r="Y26" s="98"/>
      <c r="Z26" s="105">
        <f>U23/Z24</f>
        <v>107771.98806837929</v>
      </c>
      <c r="AA26" s="98"/>
      <c r="AB26" s="99"/>
    </row>
    <row r="27" spans="1:35" ht="15.75" thickBot="1" x14ac:dyDescent="0.3">
      <c r="A27" s="106">
        <v>4</v>
      </c>
      <c r="B27" s="107">
        <v>47.32</v>
      </c>
      <c r="C27" s="107">
        <v>17.579999999999998</v>
      </c>
      <c r="D27" s="102">
        <f>Hoja1!D14/100</f>
        <v>1.1916666666666673E-4</v>
      </c>
      <c r="E27" s="102">
        <f>Hoja1!E14/100</f>
        <v>3.7925000000000003E-3</v>
      </c>
      <c r="F27" s="102">
        <f>Hoja1!F14/100</f>
        <v>2.6583333333333342E-4</v>
      </c>
      <c r="G27" s="102">
        <f>Hoja1!G14/100</f>
        <v>3.4500000000000025E-4</v>
      </c>
      <c r="H27" s="102">
        <f>Hoja1!H14/100</f>
        <v>5.208333333333335E-5</v>
      </c>
      <c r="I27" s="102">
        <f>Hoja1!I14/100</f>
        <v>3.750000000000001E-5</v>
      </c>
      <c r="J27" s="102">
        <f>Hoja1!J14/100</f>
        <v>3.5107916666666676E-2</v>
      </c>
      <c r="K27" s="102">
        <f>Hoja1!K14/100</f>
        <v>0.89025083333333344</v>
      </c>
      <c r="L27" s="102">
        <f>Hoja1!L14/100</f>
        <v>2.1058333333333337E-3</v>
      </c>
      <c r="M27" s="102">
        <f>Hoja1!M14/100</f>
        <v>6.7927083333333332E-2</v>
      </c>
      <c r="O27" s="108"/>
      <c r="P27" s="108"/>
      <c r="Q27" s="108"/>
      <c r="R27" s="108"/>
      <c r="T27" s="95" t="s">
        <v>108</v>
      </c>
      <c r="U27" s="109" t="s">
        <v>109</v>
      </c>
      <c r="V27" s="96" t="s">
        <v>110</v>
      </c>
      <c r="W27" s="98"/>
      <c r="X27" s="98"/>
      <c r="Y27" s="98"/>
      <c r="Z27" s="105"/>
      <c r="AA27" s="98"/>
      <c r="AB27" s="99"/>
    </row>
    <row r="28" spans="1:35" ht="15.75" thickBot="1" x14ac:dyDescent="0.3">
      <c r="A28" s="106">
        <v>5</v>
      </c>
      <c r="B28" s="107">
        <v>48.84</v>
      </c>
      <c r="C28" s="107">
        <v>17.64</v>
      </c>
      <c r="D28" s="102">
        <f>Hoja1!D15/100</f>
        <v>1.2833333333333338E-4</v>
      </c>
      <c r="E28" s="102">
        <f>Hoja1!E15/100</f>
        <v>4.0937500000000002E-3</v>
      </c>
      <c r="F28" s="102">
        <f>Hoja1!F15/100</f>
        <v>2.8041666666666682E-4</v>
      </c>
      <c r="G28" s="102">
        <f>Hoja1!G15/100</f>
        <v>3.7208333333333348E-4</v>
      </c>
      <c r="H28" s="102">
        <f>Hoja1!H15/100</f>
        <v>5.708333333333335E-5</v>
      </c>
      <c r="I28" s="102">
        <f>Hoja1!I15/100</f>
        <v>4.1666666666666686E-5</v>
      </c>
      <c r="J28" s="102">
        <f>Hoja1!J15/100</f>
        <v>3.466166666666666E-2</v>
      </c>
      <c r="K28" s="102">
        <f>Hoja1!K15/100</f>
        <v>0.89058791666666659</v>
      </c>
      <c r="L28" s="102">
        <f>Hoja1!L15/100</f>
        <v>2.1883333333333342E-3</v>
      </c>
      <c r="M28" s="102">
        <f>Hoja1!M15/100</f>
        <v>6.758666666666667E-2</v>
      </c>
      <c r="O28" s="108" t="s">
        <v>111</v>
      </c>
      <c r="P28" s="108"/>
      <c r="Q28" s="108"/>
      <c r="R28" s="108"/>
      <c r="T28" s="95" t="s">
        <v>112</v>
      </c>
      <c r="U28" s="96">
        <f>+U38</f>
        <v>5.1019142031896779E-4</v>
      </c>
      <c r="V28" s="96" t="s">
        <v>113</v>
      </c>
      <c r="W28" s="98"/>
      <c r="X28" s="98"/>
      <c r="Y28" s="98"/>
      <c r="Z28" s="105">
        <f>U28-U24</f>
        <v>4.8233161183905784E-4</v>
      </c>
      <c r="AA28" s="98"/>
      <c r="AB28" s="99"/>
    </row>
    <row r="29" spans="1:35" ht="15.75" thickBot="1" x14ac:dyDescent="0.3">
      <c r="A29" s="106">
        <v>6</v>
      </c>
      <c r="B29" s="107">
        <v>46.821294625600181</v>
      </c>
      <c r="C29" s="107">
        <v>17.555272022883099</v>
      </c>
      <c r="D29" s="102">
        <f>Hoja1!D16/100</f>
        <v>1.2458333333333337E-4</v>
      </c>
      <c r="E29" s="102">
        <f>Hoja1!E16/100</f>
        <v>4.0162500000000007E-3</v>
      </c>
      <c r="F29" s="102">
        <f>Hoja1!F16/100</f>
        <v>3.3791666666666687E-4</v>
      </c>
      <c r="G29" s="102">
        <f>Hoja1!G16/100</f>
        <v>4.4916666666666667E-4</v>
      </c>
      <c r="H29" s="102">
        <f>Hoja1!H16/100</f>
        <v>6.7083333333333356E-5</v>
      </c>
      <c r="I29" s="102">
        <f>Hoja1!I16/100</f>
        <v>4.9583333333333344E-5</v>
      </c>
      <c r="J29" s="102">
        <f>Hoja1!J16/100</f>
        <v>3.122666666666667E-2</v>
      </c>
      <c r="K29" s="102">
        <f>Hoja1!K16/100</f>
        <v>0.90078749999999996</v>
      </c>
      <c r="L29" s="102">
        <f>Hoja1!L16/100</f>
        <v>2.4337500000000001E-3</v>
      </c>
      <c r="M29" s="102">
        <f>Hoja1!M16/100</f>
        <v>6.050291666666667E-2</v>
      </c>
      <c r="O29" s="108"/>
      <c r="P29" s="108"/>
      <c r="Q29" s="108"/>
      <c r="R29" s="108"/>
      <c r="T29" s="111"/>
      <c r="U29" s="98"/>
      <c r="V29" s="98"/>
      <c r="W29" s="98"/>
      <c r="X29" s="98"/>
      <c r="Y29" s="98"/>
      <c r="Z29" s="98"/>
      <c r="AA29" s="98"/>
      <c r="AB29" s="99"/>
    </row>
    <row r="30" spans="1:35" ht="15.75" thickBot="1" x14ac:dyDescent="0.3">
      <c r="A30" s="106">
        <v>7</v>
      </c>
      <c r="B30" s="107"/>
      <c r="C30" s="107"/>
      <c r="D30" s="102">
        <f>Hoja1!D17/100</f>
        <v>1.4625000000000003E-4</v>
      </c>
      <c r="E30" s="102">
        <f>Hoja1!E17/100</f>
        <v>3.9783333333333329E-3</v>
      </c>
      <c r="F30" s="102">
        <f>Hoja1!F17/100</f>
        <v>3.7833333333333344E-4</v>
      </c>
      <c r="G30" s="102">
        <f>Hoja1!G17/100</f>
        <v>5.1041666666666683E-4</v>
      </c>
      <c r="H30" s="102">
        <f>Hoja1!H17/100</f>
        <v>8.000000000000002E-5</v>
      </c>
      <c r="I30" s="102">
        <f>Hoja1!I17/100</f>
        <v>6.2916666666666687E-5</v>
      </c>
      <c r="J30" s="102">
        <f>Hoja1!J17/100</f>
        <v>3.1357916666666666E-2</v>
      </c>
      <c r="K30" s="102">
        <f>Hoja1!K17/100</f>
        <v>0.90689208333333338</v>
      </c>
      <c r="L30" s="102">
        <f>Hoja1!L17/100</f>
        <v>2.8170833333333338E-3</v>
      </c>
      <c r="M30" s="102">
        <f>Hoja1!M17/100</f>
        <v>5.378125000000001E-2</v>
      </c>
      <c r="O30" s="108"/>
      <c r="P30" s="112" t="s">
        <v>114</v>
      </c>
      <c r="Q30" s="112">
        <f>((U26+Z26)*(Z28))/U25</f>
        <v>275.45158423810875</v>
      </c>
      <c r="R30" s="108" t="s">
        <v>49</v>
      </c>
      <c r="T30" s="111"/>
      <c r="U30" s="98"/>
      <c r="V30" s="98"/>
      <c r="W30" s="98"/>
      <c r="X30" s="98"/>
      <c r="Y30" s="98"/>
      <c r="Z30" s="98"/>
      <c r="AA30" s="98"/>
      <c r="AB30" s="99"/>
    </row>
    <row r="31" spans="1:35" ht="15.75" thickBot="1" x14ac:dyDescent="0.3">
      <c r="A31" s="106">
        <v>8</v>
      </c>
      <c r="B31" s="107"/>
      <c r="C31" s="107"/>
      <c r="D31" s="102">
        <f>Hoja1!D18/100</f>
        <v>1.5041666666666673E-4</v>
      </c>
      <c r="E31" s="102">
        <f>Hoja1!E18/100</f>
        <v>4.5520833333333342E-3</v>
      </c>
      <c r="F31" s="102">
        <f>Hoja1!F18/100</f>
        <v>3.729166666666668E-4</v>
      </c>
      <c r="G31" s="102">
        <f>Hoja1!G18/100</f>
        <v>4.9875000000000006E-4</v>
      </c>
      <c r="H31" s="102">
        <f>Hoja1!H18/100</f>
        <v>8.1666666666666696E-5</v>
      </c>
      <c r="I31" s="102">
        <f>Hoja1!I18/100</f>
        <v>6.4583333333333363E-5</v>
      </c>
      <c r="J31" s="102">
        <f>Hoja1!J18/100</f>
        <v>3.190875E-2</v>
      </c>
      <c r="K31" s="102">
        <f>Hoja1!K18/100</f>
        <v>0.90562124999999993</v>
      </c>
      <c r="L31" s="102">
        <f>Hoja1!L18/100</f>
        <v>2.8420833333333336E-3</v>
      </c>
      <c r="M31" s="102">
        <f>Hoja1!M18/100</f>
        <v>5.3909166666666654E-2</v>
      </c>
      <c r="O31" s="108"/>
      <c r="P31" s="112" t="s">
        <v>115</v>
      </c>
      <c r="Q31" s="112">
        <f>+Q30-273.15</f>
        <v>2.3015842381087737</v>
      </c>
      <c r="R31" s="108" t="s">
        <v>98</v>
      </c>
      <c r="T31" s="111"/>
      <c r="U31" s="98"/>
      <c r="V31" s="98"/>
      <c r="W31" s="98"/>
      <c r="X31" s="98"/>
      <c r="Y31" s="98"/>
      <c r="Z31" s="98"/>
      <c r="AA31" s="98"/>
      <c r="AB31" s="99"/>
    </row>
    <row r="32" spans="1:35" ht="15.75" thickBot="1" x14ac:dyDescent="0.3">
      <c r="A32" s="106">
        <v>9</v>
      </c>
      <c r="B32" s="107"/>
      <c r="C32" s="107"/>
      <c r="D32" s="102">
        <f>Hoja1!D19/100</f>
        <v>1.545833333333334E-4</v>
      </c>
      <c r="E32" s="102">
        <f>Hoja1!E19/100</f>
        <v>4.2670833333333345E-3</v>
      </c>
      <c r="F32" s="102">
        <f>Hoja1!F19/100</f>
        <v>3.8916666666666678E-4</v>
      </c>
      <c r="G32" s="102">
        <f>Hoja1!G19/100</f>
        <v>5.0250000000000013E-4</v>
      </c>
      <c r="H32" s="102">
        <f>Hoja1!H19/100</f>
        <v>8.3750000000000016E-5</v>
      </c>
      <c r="I32" s="102">
        <f>Hoja1!I19/100</f>
        <v>6.916666666666669E-5</v>
      </c>
      <c r="J32" s="102">
        <f>Hoja1!J19/100</f>
        <v>3.4535000000000003E-2</v>
      </c>
      <c r="K32" s="102">
        <f>Hoja1!K19/100</f>
        <v>0.90293166666666669</v>
      </c>
      <c r="L32" s="102">
        <f>Hoja1!L19/100</f>
        <v>2.6295833333333336E-3</v>
      </c>
      <c r="M32" s="102">
        <f>Hoja1!M19/100</f>
        <v>5.4438749999999994E-2</v>
      </c>
      <c r="O32" s="108"/>
      <c r="P32" s="108"/>
      <c r="Q32" s="108"/>
      <c r="R32" s="108"/>
      <c r="T32" s="111"/>
      <c r="U32" s="98"/>
      <c r="V32" s="98"/>
      <c r="W32" s="98"/>
      <c r="X32" s="98"/>
      <c r="Y32" s="98"/>
      <c r="Z32" s="98"/>
      <c r="AA32" s="98"/>
      <c r="AB32" s="99"/>
    </row>
    <row r="33" spans="1:34" ht="15.75" thickBot="1" x14ac:dyDescent="0.3">
      <c r="A33" s="106">
        <v>10</v>
      </c>
      <c r="B33" s="107"/>
      <c r="C33" s="107"/>
      <c r="D33" s="102">
        <f>Hoja1!D20/100</f>
        <v>1.8541666666666674E-4</v>
      </c>
      <c r="E33" s="102">
        <f>Hoja1!E20/100</f>
        <v>3.2287500000000003E-3</v>
      </c>
      <c r="F33" s="102">
        <f>Hoja1!F20/100</f>
        <v>2.5500000000000013E-4</v>
      </c>
      <c r="G33" s="102">
        <f>Hoja1!G20/100</f>
        <v>3.1625000000000012E-4</v>
      </c>
      <c r="H33" s="102">
        <f>Hoja1!H20/100</f>
        <v>7.9166666666666689E-5</v>
      </c>
      <c r="I33" s="102">
        <f>Hoja1!I20/100</f>
        <v>7.4583333333333362E-5</v>
      </c>
      <c r="J33" s="102">
        <f>Hoja1!J20/100</f>
        <v>5.5206666666666668E-2</v>
      </c>
      <c r="K33" s="102">
        <f>Hoja1!K20/100</f>
        <v>0.88286833333333337</v>
      </c>
      <c r="L33" s="102">
        <f>Hoja1!L20/100</f>
        <v>9.7749999999999985E-4</v>
      </c>
      <c r="M33" s="102">
        <f>Hoja1!M20/100</f>
        <v>5.6809583333333323E-2</v>
      </c>
      <c r="O33" s="108"/>
      <c r="P33" s="108"/>
      <c r="Q33" s="108">
        <v>271.84228636939616</v>
      </c>
      <c r="R33" s="108"/>
      <c r="T33" s="111"/>
      <c r="U33" s="98"/>
      <c r="V33" s="98"/>
      <c r="W33" s="98"/>
      <c r="X33" s="98"/>
      <c r="Y33" s="98"/>
      <c r="Z33" s="98"/>
      <c r="AA33" s="98"/>
      <c r="AB33" s="99"/>
    </row>
    <row r="34" spans="1:34" ht="15.75" thickBot="1" x14ac:dyDescent="0.3">
      <c r="A34" s="106">
        <v>11</v>
      </c>
      <c r="B34" s="107"/>
      <c r="C34" s="107"/>
      <c r="D34" s="102">
        <f>Hoja1!D21/100</f>
        <v>2.1333333333333339E-4</v>
      </c>
      <c r="E34" s="102">
        <f>Hoja1!E21/100</f>
        <v>4.6920833333333346E-3</v>
      </c>
      <c r="F34" s="102">
        <f>Hoja1!F21/100</f>
        <v>5.5291666666666662E-4</v>
      </c>
      <c r="G34" s="102">
        <f>Hoja1!G21/100</f>
        <v>6.229166666666668E-4</v>
      </c>
      <c r="H34" s="102">
        <f>Hoja1!H21/100</f>
        <v>1.0125000000000004E-4</v>
      </c>
      <c r="I34" s="102">
        <f>Hoja1!I21/100</f>
        <v>9.3750000000000029E-5</v>
      </c>
      <c r="J34" s="102">
        <f>Hoja1!J21/100</f>
        <v>3.6693333333333328E-2</v>
      </c>
      <c r="K34" s="102">
        <f>Hoja1!K21/100</f>
        <v>0.89952416666666679</v>
      </c>
      <c r="L34" s="102">
        <f>Hoja1!L21/100</f>
        <v>2.2474999999999999E-3</v>
      </c>
      <c r="M34" s="102">
        <f>Hoja1!M21/100</f>
        <v>5.5259166666666665E-2</v>
      </c>
      <c r="O34" s="108"/>
      <c r="P34" s="108"/>
      <c r="Q34" s="108">
        <v>-1.3077136306038142</v>
      </c>
      <c r="R34" s="108"/>
      <c r="T34" s="111" t="s">
        <v>116</v>
      </c>
      <c r="U34" s="98">
        <v>0.98</v>
      </c>
      <c r="V34" s="98"/>
      <c r="W34" s="98"/>
      <c r="X34" s="98"/>
      <c r="Y34" s="98"/>
      <c r="Z34" s="98"/>
      <c r="AA34" s="98"/>
      <c r="AB34" s="99"/>
    </row>
    <row r="35" spans="1:34" ht="15.75" thickBot="1" x14ac:dyDescent="0.3">
      <c r="A35" s="106">
        <v>12</v>
      </c>
      <c r="B35" s="107"/>
      <c r="C35" s="107"/>
      <c r="D35" s="102">
        <f>Hoja1!D22/100</f>
        <v>1.2041666666666672E-4</v>
      </c>
      <c r="E35" s="102">
        <f>Hoja1!E22/100</f>
        <v>4.6041666666666661E-3</v>
      </c>
      <c r="F35" s="102">
        <f>Hoja1!F22/100</f>
        <v>5.2541666666666676E-4</v>
      </c>
      <c r="G35" s="102">
        <f>Hoja1!G22/100</f>
        <v>5.2041666666666686E-4</v>
      </c>
      <c r="H35" s="102">
        <f>Hoja1!H22/100</f>
        <v>4.9166666666666692E-5</v>
      </c>
      <c r="I35" s="102">
        <f>Hoja1!I22/100</f>
        <v>3.7916666666666689E-5</v>
      </c>
      <c r="J35" s="102">
        <f>Hoja1!J22/100</f>
        <v>3.6752499999999994E-2</v>
      </c>
      <c r="K35" s="102">
        <f>Hoja1!K22/100</f>
        <v>0.89962333333333322</v>
      </c>
      <c r="L35" s="102">
        <f>Hoja1!L22/100</f>
        <v>1.5008333333333334E-3</v>
      </c>
      <c r="M35" s="102">
        <f>Hoja1!M22/100</f>
        <v>5.6267083333333343E-2</v>
      </c>
      <c r="O35" s="108"/>
      <c r="P35" s="108"/>
      <c r="Q35" s="108"/>
      <c r="R35" s="108"/>
      <c r="T35" s="111" t="s">
        <v>106</v>
      </c>
      <c r="U35" s="113">
        <f>U26</f>
        <v>4640506.78</v>
      </c>
      <c r="V35" s="98" t="s">
        <v>117</v>
      </c>
      <c r="W35" s="98"/>
      <c r="X35" s="98"/>
      <c r="Y35" s="98"/>
      <c r="Z35" s="98"/>
      <c r="AA35" s="98"/>
      <c r="AB35" s="99"/>
    </row>
    <row r="36" spans="1:34" ht="15.75" thickBot="1" x14ac:dyDescent="0.3">
      <c r="A36" s="106">
        <v>13</v>
      </c>
      <c r="B36" s="107"/>
      <c r="C36" s="107"/>
      <c r="D36" s="102">
        <f>Hoja1!D23/100</f>
        <v>1.3416666666666668E-4</v>
      </c>
      <c r="E36" s="102">
        <f>Hoja1!E23/100</f>
        <v>5.2720833333333317E-3</v>
      </c>
      <c r="F36" s="102">
        <f>Hoja1!F23/100</f>
        <v>4.9041666666666678E-4</v>
      </c>
      <c r="G36" s="102">
        <f>Hoja1!G23/100</f>
        <v>5.3500000000000021E-4</v>
      </c>
      <c r="H36" s="102">
        <f>Hoja1!H23/100</f>
        <v>6.6250000000000025E-5</v>
      </c>
      <c r="I36" s="102">
        <f>Hoja1!I23/100</f>
        <v>5.6666666666666678E-5</v>
      </c>
      <c r="J36" s="102">
        <f>Hoja1!J23/100</f>
        <v>4.4344999999999989E-2</v>
      </c>
      <c r="K36" s="102">
        <f>Hoja1!K23/100</f>
        <v>0.89498374999999997</v>
      </c>
      <c r="L36" s="102">
        <f>Hoja1!L23/100</f>
        <v>1.3225000000000001E-3</v>
      </c>
      <c r="M36" s="102">
        <f>Hoja1!M23/100</f>
        <v>5.2792916666666675E-2</v>
      </c>
      <c r="O36" s="108"/>
      <c r="P36" s="108"/>
      <c r="Q36" s="108"/>
      <c r="R36" s="108"/>
      <c r="T36" s="111" t="s">
        <v>118</v>
      </c>
      <c r="U36" s="113">
        <f>C24+273.15</f>
        <v>290.56</v>
      </c>
      <c r="V36" s="98" t="s">
        <v>49</v>
      </c>
      <c r="W36" s="98"/>
      <c r="X36" s="98"/>
      <c r="Y36" s="98"/>
      <c r="Z36" s="98"/>
      <c r="AA36" s="98"/>
      <c r="AB36" s="99"/>
    </row>
    <row r="37" spans="1:34" ht="15.75" thickBot="1" x14ac:dyDescent="0.3">
      <c r="A37" s="106">
        <v>14</v>
      </c>
      <c r="B37" s="107"/>
      <c r="C37" s="107"/>
      <c r="D37" s="102">
        <f>Hoja1!D24/100</f>
        <v>1.416666666666667E-4</v>
      </c>
      <c r="E37" s="102">
        <f>Hoja1!E24/100</f>
        <v>4.7620833333333326E-3</v>
      </c>
      <c r="F37" s="102">
        <f>Hoja1!F24/100</f>
        <v>3.2583333333333347E-4</v>
      </c>
      <c r="G37" s="102">
        <f>Hoja1!G24/100</f>
        <v>3.5208333333333348E-4</v>
      </c>
      <c r="H37" s="102">
        <f>Hoja1!H24/100</f>
        <v>6.2916666666666674E-5</v>
      </c>
      <c r="I37" s="102">
        <f>Hoja1!I24/100</f>
        <v>5.208333333333335E-5</v>
      </c>
      <c r="J37" s="102">
        <f>Hoja1!J24/100</f>
        <v>4.7542916666666664E-2</v>
      </c>
      <c r="K37" s="102">
        <f>Hoja1!K24/100</f>
        <v>0.88175291666666678</v>
      </c>
      <c r="L37" s="102">
        <f>Hoja1!L24/100</f>
        <v>1.1737500000000001E-3</v>
      </c>
      <c r="M37" s="102">
        <f>Hoja1!M24/100</f>
        <v>6.3834166666666664E-2</v>
      </c>
      <c r="O37" s="108"/>
      <c r="P37" s="114" t="s">
        <v>119</v>
      </c>
      <c r="Q37" s="114" t="s">
        <v>120</v>
      </c>
      <c r="R37" s="108"/>
      <c r="T37" s="111"/>
      <c r="U37" s="98"/>
      <c r="V37" s="98"/>
      <c r="W37" s="98"/>
      <c r="X37" s="98"/>
      <c r="Y37" s="98"/>
      <c r="Z37" s="98"/>
      <c r="AA37" s="98"/>
      <c r="AB37" s="99"/>
    </row>
    <row r="38" spans="1:34" ht="15.75" thickBot="1" x14ac:dyDescent="0.3">
      <c r="A38" s="106">
        <v>15</v>
      </c>
      <c r="B38" s="107"/>
      <c r="C38" s="107"/>
      <c r="D38" s="102">
        <f>Hoja1!D25/100</f>
        <v>1.6625000000000006E-4</v>
      </c>
      <c r="E38" s="102">
        <f>Hoja1!E25/100</f>
        <v>4.1533333333333335E-3</v>
      </c>
      <c r="F38" s="102">
        <f>Hoja1!F25/100</f>
        <v>3.7208333333333342E-4</v>
      </c>
      <c r="G38" s="102">
        <f>Hoja1!G25/100</f>
        <v>4.2958333333333347E-4</v>
      </c>
      <c r="H38" s="102">
        <f>Hoja1!H25/100</f>
        <v>8.0416666666666692E-5</v>
      </c>
      <c r="I38" s="102">
        <f>Hoja1!I25/100</f>
        <v>7.1666666666666683E-5</v>
      </c>
      <c r="J38" s="102">
        <f>Hoja1!J25/100</f>
        <v>4.8973749999999996E-2</v>
      </c>
      <c r="K38" s="102">
        <f>Hoja1!K25/100</f>
        <v>0.89074791666666675</v>
      </c>
      <c r="L38" s="102">
        <f>Hoja1!L25/100</f>
        <v>1.1787499999999999E-3</v>
      </c>
      <c r="M38" s="102">
        <f>Hoja1!M25/100</f>
        <v>5.3822916666666665E-2</v>
      </c>
      <c r="O38" s="108">
        <v>1</v>
      </c>
      <c r="P38" s="112">
        <f>((U26+Z26)*(Z28))/U25</f>
        <v>275.45158423810875</v>
      </c>
      <c r="Q38" s="112">
        <f>P38-273.15</f>
        <v>2.3015842381087737</v>
      </c>
      <c r="R38" s="108"/>
      <c r="T38" s="72" t="s">
        <v>121</v>
      </c>
      <c r="U38" s="73">
        <f>(0.98*U25*U36)/U35</f>
        <v>5.1019142031896779E-4</v>
      </c>
      <c r="V38" s="73" t="s">
        <v>113</v>
      </c>
      <c r="W38" s="73"/>
      <c r="X38" s="73"/>
      <c r="Y38" s="73"/>
      <c r="Z38" s="73"/>
      <c r="AA38" s="73"/>
      <c r="AB38" s="115"/>
    </row>
    <row r="39" spans="1:34" ht="15.75" thickBot="1" x14ac:dyDescent="0.3">
      <c r="A39" s="106">
        <v>16</v>
      </c>
      <c r="B39" s="107"/>
      <c r="C39" s="107"/>
      <c r="D39" s="102">
        <f>Hoja1!D26/100</f>
        <v>1.837500000000001E-4</v>
      </c>
      <c r="E39" s="102">
        <f>Hoja1!E26/100</f>
        <v>3.6966666666666662E-3</v>
      </c>
      <c r="F39" s="102">
        <f>Hoja1!F26/100</f>
        <v>2.8750000000000016E-4</v>
      </c>
      <c r="G39" s="102">
        <f>Hoja1!G26/100</f>
        <v>3.9666666666666675E-4</v>
      </c>
      <c r="H39" s="102">
        <f>Hoja1!H26/100</f>
        <v>8.5416666666666719E-5</v>
      </c>
      <c r="I39" s="102">
        <f>Hoja1!I26/100</f>
        <v>7.3333333333333372E-5</v>
      </c>
      <c r="J39" s="102">
        <f>Hoja1!J26/100</f>
        <v>4.4594166666666671E-2</v>
      </c>
      <c r="K39" s="102">
        <f>Hoja1!K26/100</f>
        <v>0.89534958333333337</v>
      </c>
      <c r="L39" s="102">
        <f>Hoja1!L26/100</f>
        <v>1.2574999999999999E-3</v>
      </c>
      <c r="M39" s="102">
        <f>Hoja1!M26/100</f>
        <v>5.4080416666666659E-2</v>
      </c>
      <c r="O39" s="108">
        <v>2</v>
      </c>
      <c r="P39" s="108">
        <f>((U60+Z60)*Z62)/U59</f>
        <v>275.78437070866136</v>
      </c>
      <c r="Q39" s="112">
        <f>P39-273.15</f>
        <v>2.634370708661379</v>
      </c>
      <c r="R39" s="108"/>
    </row>
    <row r="40" spans="1:34" ht="15.75" thickBot="1" x14ac:dyDescent="0.3">
      <c r="A40" s="106">
        <v>17</v>
      </c>
      <c r="B40" s="107"/>
      <c r="C40" s="107"/>
      <c r="D40" s="102">
        <f>Hoja1!D27/100</f>
        <v>1.5458333333333337E-4</v>
      </c>
      <c r="E40" s="102">
        <f>Hoja1!E27/100</f>
        <v>3.9787499999999996E-3</v>
      </c>
      <c r="F40" s="102">
        <f>Hoja1!F27/100</f>
        <v>2.6291666666666683E-4</v>
      </c>
      <c r="G40" s="102">
        <f>Hoja1!G27/100</f>
        <v>4.0500000000000014E-4</v>
      </c>
      <c r="H40" s="102">
        <f>Hoja1!H27/100</f>
        <v>7.416666666666669E-5</v>
      </c>
      <c r="I40" s="102">
        <f>Hoja1!I27/100</f>
        <v>6.2916666666666701E-5</v>
      </c>
      <c r="J40" s="102">
        <f>Hoja1!J27/100</f>
        <v>4.3920833333333326E-2</v>
      </c>
      <c r="K40" s="102">
        <f>Hoja1!K27/100</f>
        <v>0.89227208333333341</v>
      </c>
      <c r="L40" s="102">
        <f>Hoja1!L27/100</f>
        <v>1.1000000000000001E-3</v>
      </c>
      <c r="M40" s="102">
        <f>Hoja1!M27/100</f>
        <v>5.776708333333333E-2</v>
      </c>
      <c r="O40" s="108">
        <v>3</v>
      </c>
      <c r="P40" s="108">
        <f>((U92+Z92)*Z94)/U91</f>
        <v>275.73960461850288</v>
      </c>
      <c r="Q40" s="112">
        <f>P40-273.15</f>
        <v>2.5896046185029036</v>
      </c>
      <c r="R40" s="108"/>
    </row>
    <row r="41" spans="1:34" ht="15.75" thickBot="1" x14ac:dyDescent="0.3">
      <c r="A41" s="106">
        <v>18</v>
      </c>
      <c r="B41" s="107"/>
      <c r="C41" s="107"/>
      <c r="D41" s="102">
        <f>Hoja1!D28/100</f>
        <v>2.3250000000000007E-4</v>
      </c>
      <c r="E41" s="102">
        <f>Hoja1!E28/100</f>
        <v>4.6550000000000012E-3</v>
      </c>
      <c r="F41" s="102">
        <f>Hoja1!F28/100</f>
        <v>3.8291666666666677E-4</v>
      </c>
      <c r="G41" s="102">
        <f>Hoja1!G28/100</f>
        <v>6.7541666666666661E-4</v>
      </c>
      <c r="H41" s="102">
        <f>Hoja1!H28/100</f>
        <v>1.4083333333333339E-4</v>
      </c>
      <c r="I41" s="102">
        <f>Hoja1!I28/100</f>
        <v>1.4000000000000004E-4</v>
      </c>
      <c r="J41" s="102">
        <f>Hoja1!J28/100</f>
        <v>5.0810416666666663E-2</v>
      </c>
      <c r="K41" s="102">
        <f>Hoja1!K28/100</f>
        <v>0.88836375000000023</v>
      </c>
      <c r="L41" s="102">
        <f>Hoja1!L28/100</f>
        <v>9.9625000000000017E-4</v>
      </c>
      <c r="M41" s="102">
        <f>Hoja1!M28/100</f>
        <v>5.360874999999999E-2</v>
      </c>
      <c r="O41" s="108">
        <v>4</v>
      </c>
      <c r="P41" s="108">
        <f>((U124+Z124)*Z126)/U123</f>
        <v>275.33397199874582</v>
      </c>
      <c r="Q41" s="112">
        <f>P41-273.15</f>
        <v>2.1839719987458466</v>
      </c>
      <c r="R41" s="108"/>
      <c r="S41" s="116"/>
      <c r="V41" s="162" t="s">
        <v>60</v>
      </c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4"/>
    </row>
    <row r="42" spans="1:34" ht="15.75" thickBot="1" x14ac:dyDescent="0.3">
      <c r="A42" s="106">
        <v>19</v>
      </c>
      <c r="B42" s="107"/>
      <c r="C42" s="107"/>
      <c r="D42" s="102">
        <f>Hoja1!D29/100</f>
        <v>2.1083333333333343E-4</v>
      </c>
      <c r="E42" s="102">
        <f>Hoja1!E29/100</f>
        <v>4.0558333333333323E-3</v>
      </c>
      <c r="F42" s="102">
        <f>Hoja1!F29/100</f>
        <v>3.1208333333333348E-4</v>
      </c>
      <c r="G42" s="102">
        <f>Hoja1!G29/100</f>
        <v>5.4124999999999996E-4</v>
      </c>
      <c r="H42" s="102">
        <f>Hoja1!H29/100</f>
        <v>1.2375000000000005E-4</v>
      </c>
      <c r="I42" s="102">
        <f>Hoja1!I29/100</f>
        <v>1.2458333333333337E-4</v>
      </c>
      <c r="J42" s="102">
        <f>Hoja1!J29/100</f>
        <v>6.3032916666666661E-2</v>
      </c>
      <c r="K42" s="102">
        <f>Hoja1!K29/100</f>
        <v>0.87826416666666673</v>
      </c>
      <c r="L42" s="102">
        <f>Hoja1!L29/100</f>
        <v>7.5874999999999998E-4</v>
      </c>
      <c r="M42" s="102">
        <f>Hoja1!M29/100</f>
        <v>5.2572916666666664E-2</v>
      </c>
      <c r="O42" s="108">
        <v>5</v>
      </c>
      <c r="P42" s="108">
        <f>((U156+Z156)*Z158)/U155</f>
        <v>275.0590674385839</v>
      </c>
      <c r="Q42" s="112">
        <f t="shared" ref="Q42:Q68" si="20">P42-273.15</f>
        <v>1.9090674385839179</v>
      </c>
      <c r="R42" s="108"/>
      <c r="S42" s="116"/>
      <c r="Y42" s="168" t="s">
        <v>63</v>
      </c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34" ht="18" thickBot="1" x14ac:dyDescent="0.3">
      <c r="A43" s="106">
        <v>20</v>
      </c>
      <c r="B43" s="107"/>
      <c r="C43" s="107"/>
      <c r="D43" s="102">
        <f>Hoja1!D30/100</f>
        <v>1.7208333333333336E-4</v>
      </c>
      <c r="E43" s="102">
        <f>Hoja1!E30/100</f>
        <v>3.5245833333333336E-3</v>
      </c>
      <c r="F43" s="102">
        <f>Hoja1!F30/100</f>
        <v>2.462500000000001E-4</v>
      </c>
      <c r="G43" s="102">
        <f>Hoja1!G30/100</f>
        <v>4.1000000000000015E-4</v>
      </c>
      <c r="H43" s="102">
        <f>Hoja1!H30/100</f>
        <v>1.041666666666667E-4</v>
      </c>
      <c r="I43" s="102">
        <f>Hoja1!I30/100</f>
        <v>1.0500000000000002E-4</v>
      </c>
      <c r="J43" s="102">
        <f>Hoja1!J30/100</f>
        <v>6.9343333333333354E-2</v>
      </c>
      <c r="K43" s="102">
        <f>Hoja1!K30/100</f>
        <v>0.87437291666666672</v>
      </c>
      <c r="L43" s="102">
        <f>Hoja1!L30/100</f>
        <v>5.5125000000000031E-4</v>
      </c>
      <c r="M43" s="102">
        <f>Hoja1!M30/100</f>
        <v>5.1169999999999993E-2</v>
      </c>
      <c r="O43" s="108">
        <v>6</v>
      </c>
      <c r="P43" s="108">
        <f>((U188+Z188)*Z190)/U187</f>
        <v>274.99335505496197</v>
      </c>
      <c r="Q43" s="112">
        <f t="shared" si="20"/>
        <v>1.8433550549619895</v>
      </c>
      <c r="R43" s="108"/>
      <c r="S43" s="116">
        <v>2</v>
      </c>
      <c r="T43" s="117" t="s">
        <v>76</v>
      </c>
      <c r="U43" s="63" t="s">
        <v>77</v>
      </c>
      <c r="V43" s="59" t="s">
        <v>78</v>
      </c>
      <c r="W43" s="59" t="s">
        <v>79</v>
      </c>
      <c r="X43" s="59" t="s">
        <v>80</v>
      </c>
      <c r="Y43" s="64" t="s">
        <v>30</v>
      </c>
      <c r="Z43" s="64" t="s">
        <v>32</v>
      </c>
      <c r="AA43" s="64" t="s">
        <v>81</v>
      </c>
      <c r="AB43" s="64" t="s">
        <v>25</v>
      </c>
      <c r="AC43" s="64" t="s">
        <v>26</v>
      </c>
      <c r="AD43" s="64" t="s">
        <v>27</v>
      </c>
      <c r="AE43" s="64" t="s">
        <v>28</v>
      </c>
      <c r="AF43" s="64" t="s">
        <v>82</v>
      </c>
      <c r="AG43" s="64" t="s">
        <v>29</v>
      </c>
      <c r="AH43" s="65" t="s">
        <v>31</v>
      </c>
    </row>
    <row r="44" spans="1:34" ht="15.75" thickBot="1" x14ac:dyDescent="0.3">
      <c r="A44" s="106">
        <v>21</v>
      </c>
      <c r="B44" s="107"/>
      <c r="C44" s="107"/>
      <c r="D44" s="102">
        <f>Hoja1!D31/100</f>
        <v>1.7958333333333341E-4</v>
      </c>
      <c r="E44" s="102">
        <f>Hoja1!E31/100</f>
        <v>4.0979166666666672E-3</v>
      </c>
      <c r="F44" s="102">
        <f>Hoja1!F31/100</f>
        <v>2.0375000000000007E-4</v>
      </c>
      <c r="G44" s="102">
        <f>Hoja1!G31/100</f>
        <v>3.2291666666666683E-4</v>
      </c>
      <c r="H44" s="102">
        <f>Hoja1!H31/100</f>
        <v>9.333333333333337E-5</v>
      </c>
      <c r="I44" s="102">
        <f>Hoja1!I31/100</f>
        <v>9.333333333333337E-5</v>
      </c>
      <c r="J44" s="102">
        <f>Hoja1!J31/100</f>
        <v>7.2340416666666657E-2</v>
      </c>
      <c r="K44" s="102">
        <f>Hoja1!K31/100</f>
        <v>0.86403958333333319</v>
      </c>
      <c r="L44" s="102">
        <f>Hoja1!L31/100</f>
        <v>4.3958333333333344E-4</v>
      </c>
      <c r="M44" s="102">
        <f>Hoja1!M31/100</f>
        <v>5.8191250000000007E-2</v>
      </c>
      <c r="O44" s="108">
        <v>7</v>
      </c>
      <c r="P44" s="108" t="e">
        <f>((U220+Z220)*Z222)/U219</f>
        <v>#DIV/0!</v>
      </c>
      <c r="Q44" s="112" t="e">
        <f t="shared" si="20"/>
        <v>#DIV/0!</v>
      </c>
      <c r="R44" s="108"/>
      <c r="S44" s="116"/>
      <c r="T44" s="118">
        <f>K25</f>
        <v>0.88414249999999994</v>
      </c>
      <c r="U44" s="69">
        <f>$S8*T44</f>
        <v>2.369773609768502E-5</v>
      </c>
      <c r="V44" s="69">
        <f>$T$44*T44</f>
        <v>0.78170796030624989</v>
      </c>
      <c r="W44" s="69">
        <f>$R$8*R8</f>
        <v>4.2845172623208805E-2</v>
      </c>
      <c r="X44" s="69">
        <f>SQRT(W44)</f>
        <v>0.20699075492207086</v>
      </c>
      <c r="Y44" s="70"/>
      <c r="Z44" s="70"/>
      <c r="AA44" s="70"/>
      <c r="AB44" s="70"/>
      <c r="AC44" s="70"/>
      <c r="AD44" s="70"/>
      <c r="AE44" s="70"/>
      <c r="AF44" s="70"/>
      <c r="AG44" s="70"/>
      <c r="AH44" s="71"/>
    </row>
    <row r="45" spans="1:34" ht="15.75" thickBot="1" x14ac:dyDescent="0.3">
      <c r="A45" s="106">
        <v>22</v>
      </c>
      <c r="B45" s="107"/>
      <c r="C45" s="107"/>
      <c r="D45" s="102">
        <f>Hoja1!D32/100</f>
        <v>3.1666666666666676E-4</v>
      </c>
      <c r="E45" s="102">
        <f>Hoja1!E32/100</f>
        <v>4.602083333333333E-3</v>
      </c>
      <c r="F45" s="102">
        <f>Hoja1!F32/100</f>
        <v>4.0375000000000014E-4</v>
      </c>
      <c r="G45" s="102">
        <f>Hoja1!G32/100</f>
        <v>7.6375000000000011E-4</v>
      </c>
      <c r="H45" s="102">
        <f>Hoja1!H32/100</f>
        <v>2.0625000000000008E-4</v>
      </c>
      <c r="I45" s="102">
        <f>Hoja1!I32/100</f>
        <v>2.2333333333333344E-4</v>
      </c>
      <c r="J45" s="102">
        <f>Hoja1!J32/100</f>
        <v>7.2372916666666662E-2</v>
      </c>
      <c r="K45" s="102">
        <f>Hoja1!K32/100</f>
        <v>0.8662112500000001</v>
      </c>
      <c r="L45" s="102">
        <f>Hoja1!L32/100</f>
        <v>3.8333333333333345E-4</v>
      </c>
      <c r="M45" s="102">
        <f>Hoja1!M32/100</f>
        <v>5.4522083333333339E-2</v>
      </c>
      <c r="O45" s="108">
        <v>8</v>
      </c>
      <c r="P45" s="108" t="e">
        <f>((U252+Z252)*Z254)/U251</f>
        <v>#DIV/0!</v>
      </c>
      <c r="Q45" s="112" t="e">
        <f t="shared" si="20"/>
        <v>#DIV/0!</v>
      </c>
      <c r="R45" s="108"/>
      <c r="S45" s="116"/>
      <c r="T45" s="118">
        <f>M25</f>
        <v>7.2024999999999992E-2</v>
      </c>
      <c r="U45" s="69">
        <f t="shared" ref="U45:U53" si="21">$S9*T45</f>
        <v>2.919762309108147E-6</v>
      </c>
      <c r="V45" s="69">
        <f t="shared" ref="V45:V53" si="22">$T$44*T45</f>
        <v>6.3680363562499995E-2</v>
      </c>
      <c r="W45" s="69">
        <f t="shared" ref="W45:W53" si="23">$R$8*R9</f>
        <v>0.12918986849197683</v>
      </c>
      <c r="X45" s="69">
        <f t="shared" ref="X45:X53" si="24">SQRT(W45)</f>
        <v>0.35942992153127268</v>
      </c>
      <c r="Y45" s="70">
        <f t="shared" ref="Y45:Y53" si="25">(($T$44*$T45)*SQRT($R$8*R9))*(1-B60)</f>
        <v>2.2948138511356003E-2</v>
      </c>
      <c r="Z45" s="70"/>
      <c r="AA45" s="70"/>
      <c r="AB45" s="70"/>
      <c r="AC45" s="70"/>
      <c r="AD45" s="70"/>
      <c r="AE45" s="70"/>
      <c r="AF45" s="70"/>
      <c r="AG45" s="70"/>
      <c r="AH45" s="71"/>
    </row>
    <row r="46" spans="1:34" ht="15.75" thickBot="1" x14ac:dyDescent="0.3">
      <c r="A46" s="106">
        <v>23</v>
      </c>
      <c r="B46" s="107"/>
      <c r="C46" s="107"/>
      <c r="D46" s="102">
        <f>Hoja1!D33/100</f>
        <v>3.7166666666666674E-4</v>
      </c>
      <c r="E46" s="102">
        <f>Hoja1!E33/100</f>
        <v>5.1370833333333346E-3</v>
      </c>
      <c r="F46" s="102">
        <f>Hoja1!F33/100</f>
        <v>4.7916666666666669E-4</v>
      </c>
      <c r="G46" s="102">
        <f>Hoja1!G33/100</f>
        <v>9.2749999999999994E-4</v>
      </c>
      <c r="H46" s="102">
        <f>Hoja1!H33/100</f>
        <v>2.5208333333333349E-4</v>
      </c>
      <c r="I46" s="102">
        <f>Hoja1!I33/100</f>
        <v>2.7500000000000012E-4</v>
      </c>
      <c r="J46" s="102">
        <f>Hoja1!J33/100</f>
        <v>7.0499583333333338E-2</v>
      </c>
      <c r="K46" s="102">
        <f>Hoja1!K33/100</f>
        <v>0.86579666666666655</v>
      </c>
      <c r="L46" s="102">
        <f>Hoja1!L33/100</f>
        <v>4.0916666666666678E-4</v>
      </c>
      <c r="M46" s="102">
        <f>Hoja1!M33/100</f>
        <v>5.5847083333333325E-2</v>
      </c>
      <c r="O46" s="108">
        <v>9</v>
      </c>
      <c r="P46" s="108" t="e">
        <f>((U284+Z284)*Z286)/U283</f>
        <v>#DIV/0!</v>
      </c>
      <c r="Q46" s="112" t="e">
        <f t="shared" si="20"/>
        <v>#DIV/0!</v>
      </c>
      <c r="R46" s="108"/>
      <c r="S46" s="116"/>
      <c r="T46" s="118">
        <f>+E25</f>
        <v>4.2074999999999994E-3</v>
      </c>
      <c r="U46" s="69">
        <f t="shared" si="21"/>
        <v>2.3695070819485364E-7</v>
      </c>
      <c r="V46" s="69">
        <f t="shared" si="22"/>
        <v>3.7200295687499991E-3</v>
      </c>
      <c r="W46" s="69">
        <f t="shared" si="23"/>
        <v>0.24193902239770376</v>
      </c>
      <c r="X46" s="69">
        <f t="shared" si="24"/>
        <v>0.49187297384355622</v>
      </c>
      <c r="Y46" s="70">
        <f t="shared" si="25"/>
        <v>1.8041650586722857E-3</v>
      </c>
      <c r="Z46" s="70">
        <f t="shared" ref="Z46:Z53" si="26">(($T$45*T46)*SQRT($R$9*R10))*(1-B61)</f>
        <v>2.5521168028217167E-4</v>
      </c>
      <c r="AA46" s="70"/>
      <c r="AB46" s="70"/>
      <c r="AC46" s="70"/>
      <c r="AD46" s="70"/>
      <c r="AE46" s="70"/>
      <c r="AF46" s="70"/>
      <c r="AG46" s="70"/>
      <c r="AH46" s="71"/>
    </row>
    <row r="47" spans="1:34" ht="15.75" thickBot="1" x14ac:dyDescent="0.3">
      <c r="A47" s="106">
        <v>24</v>
      </c>
      <c r="B47" s="107"/>
      <c r="C47" s="107"/>
      <c r="D47" s="102">
        <f>Hoja1!D34/100</f>
        <v>4.0083333333333355E-4</v>
      </c>
      <c r="E47" s="102">
        <f>Hoja1!E34/100</f>
        <v>4.6500000000000005E-3</v>
      </c>
      <c r="F47" s="102">
        <f>Hoja1!F34/100</f>
        <v>5.058333333333335E-4</v>
      </c>
      <c r="G47" s="102">
        <f>Hoja1!G34/100</f>
        <v>8.8374999999999999E-4</v>
      </c>
      <c r="H47" s="102">
        <f>Hoja1!H34/100</f>
        <v>2.2541666666666671E-4</v>
      </c>
      <c r="I47" s="102">
        <f>Hoja1!I34/100</f>
        <v>2.2583333333333342E-4</v>
      </c>
      <c r="J47" s="102">
        <f>Hoja1!J34/100</f>
        <v>5.020666666666667E-2</v>
      </c>
      <c r="K47" s="102">
        <f>Hoja1!K34/100</f>
        <v>0.89443624999999993</v>
      </c>
      <c r="L47" s="102">
        <f>Hoja1!L34/100</f>
        <v>1.2762499999999998E-3</v>
      </c>
      <c r="M47" s="102">
        <f>Hoja1!M34/100</f>
        <v>4.7191249999999997E-2</v>
      </c>
      <c r="O47" s="108">
        <v>10</v>
      </c>
      <c r="P47" s="108" t="e">
        <f>((U316+Z316)*Z318)/U315</f>
        <v>#DIV/0!</v>
      </c>
      <c r="Q47" s="112" t="e">
        <f t="shared" si="20"/>
        <v>#DIV/0!</v>
      </c>
      <c r="R47" s="108"/>
      <c r="S47" s="116"/>
      <c r="T47" s="118">
        <f>+G25</f>
        <v>3.8708333333333346E-4</v>
      </c>
      <c r="U47" s="69">
        <f t="shared" si="21"/>
        <v>2.804181130344107E-8</v>
      </c>
      <c r="V47" s="69">
        <f t="shared" si="22"/>
        <v>3.4223682604166676E-4</v>
      </c>
      <c r="W47" s="69">
        <f t="shared" si="23"/>
        <v>0.39059496580954223</v>
      </c>
      <c r="X47" s="69">
        <f t="shared" si="24"/>
        <v>0.62497597218576506</v>
      </c>
      <c r="Y47" s="70">
        <f t="shared" si="25"/>
        <v>2.0841421437048832E-4</v>
      </c>
      <c r="Z47" s="70">
        <f t="shared" si="26"/>
        <v>2.9481638383643363E-5</v>
      </c>
      <c r="AA47" s="70">
        <f t="shared" ref="AA47:AA53" si="27">(($T$46*U47)*SQRT($R$10*S11))*(1-C62)</f>
        <v>1.0929707447434067E-12</v>
      </c>
      <c r="AB47" s="70"/>
      <c r="AC47" s="70"/>
      <c r="AD47" s="70"/>
      <c r="AE47" s="70"/>
      <c r="AF47" s="70"/>
      <c r="AG47" s="70"/>
      <c r="AH47" s="71"/>
    </row>
    <row r="48" spans="1:34" ht="15.75" thickBot="1" x14ac:dyDescent="0.3">
      <c r="A48" s="106">
        <v>25</v>
      </c>
      <c r="B48" s="107"/>
      <c r="C48" s="107"/>
      <c r="D48" s="102">
        <f>Hoja1!D35/100</f>
        <v>2.6750000000000011E-4</v>
      </c>
      <c r="E48" s="102">
        <f>Hoja1!E35/100</f>
        <v>3.6754166666666658E-3</v>
      </c>
      <c r="F48" s="102">
        <f>Hoja1!F35/100</f>
        <v>3.7458333333333359E-4</v>
      </c>
      <c r="G48" s="102">
        <f>Hoja1!G35/100</f>
        <v>6.2208333333333343E-4</v>
      </c>
      <c r="H48" s="102">
        <f>Hoja1!H35/100</f>
        <v>1.5416666666666674E-4</v>
      </c>
      <c r="I48" s="102">
        <f>Hoja1!I35/100</f>
        <v>1.491666666666667E-4</v>
      </c>
      <c r="J48" s="102">
        <f>Hoja1!J35/100</f>
        <v>4.7673750000000001E-2</v>
      </c>
      <c r="K48" s="102">
        <f>Hoja1!K35/100</f>
        <v>0.89595541666666678</v>
      </c>
      <c r="L48" s="102">
        <f>Hoja1!L35/100</f>
        <v>1.2616666666666666E-3</v>
      </c>
      <c r="M48" s="102">
        <f>Hoja1!M35/100</f>
        <v>4.9859999999999995E-2</v>
      </c>
      <c r="O48" s="108">
        <v>11</v>
      </c>
      <c r="P48" s="108" t="e">
        <f>((U348+Z348)*Z350)/U347</f>
        <v>#DIV/0!</v>
      </c>
      <c r="Q48" s="112" t="e">
        <f t="shared" si="20"/>
        <v>#DIV/0!</v>
      </c>
      <c r="R48" s="108"/>
      <c r="S48" s="116"/>
      <c r="T48" s="118">
        <f>+F25</f>
        <v>2.970833333333335E-4</v>
      </c>
      <c r="U48" s="69">
        <f t="shared" si="21"/>
        <v>2.1529819206010675E-8</v>
      </c>
      <c r="V48" s="69">
        <f t="shared" si="22"/>
        <v>2.6266400104166677E-4</v>
      </c>
      <c r="W48" s="69">
        <f t="shared" si="23"/>
        <v>0.36453710099529019</v>
      </c>
      <c r="X48" s="69">
        <f t="shared" si="24"/>
        <v>0.60376907919774281</v>
      </c>
      <c r="Y48" s="70">
        <f t="shared" si="25"/>
        <v>1.5647917630009272E-4</v>
      </c>
      <c r="Z48" s="70">
        <f t="shared" si="26"/>
        <v>2.2135066478953914E-5</v>
      </c>
      <c r="AA48" s="70">
        <f t="shared" si="27"/>
        <v>8.25721652627519E-13</v>
      </c>
      <c r="AB48" s="70">
        <f t="shared" ref="AB48:AB53" si="28">(($T$47*V48)*SQRT($R$11*T48))*(1-D63)</f>
        <v>2.3993658680912023E-9</v>
      </c>
      <c r="AC48" s="70"/>
      <c r="AD48" s="70"/>
      <c r="AE48" s="70"/>
      <c r="AF48" s="70"/>
      <c r="AG48" s="70"/>
      <c r="AH48" s="71"/>
    </row>
    <row r="49" spans="1:34" ht="15.75" thickBot="1" x14ac:dyDescent="0.3">
      <c r="A49" s="106">
        <v>26</v>
      </c>
      <c r="B49" s="107"/>
      <c r="C49" s="107"/>
      <c r="D49" s="102">
        <f>Hoja1!D36/100</f>
        <v>1.936000000000001E-4</v>
      </c>
      <c r="E49" s="102">
        <f>Hoja1!E36/100</f>
        <v>3.3208000000000001E-3</v>
      </c>
      <c r="F49" s="102">
        <f>Hoja1!F36/100</f>
        <v>3.0480000000000014E-4</v>
      </c>
      <c r="G49" s="102">
        <f>Hoja1!G36/100</f>
        <v>4.8000000000000007E-4</v>
      </c>
      <c r="H49" s="102">
        <f>Hoja1!H36/100</f>
        <v>1.1680000000000006E-4</v>
      </c>
      <c r="I49" s="102">
        <f>Hoja1!I36/100</f>
        <v>1.1360000000000005E-4</v>
      </c>
      <c r="J49" s="102">
        <f>Hoja1!J36/100</f>
        <v>4.4539600000000006E-2</v>
      </c>
      <c r="K49" s="102">
        <f>Hoja1!K36/100</f>
        <v>0.89643719999999982</v>
      </c>
      <c r="L49" s="102">
        <f>Hoja1!L36/100</f>
        <v>1.7807999999999999E-3</v>
      </c>
      <c r="M49" s="102">
        <f>Hoja1!M36/100</f>
        <v>5.2713199999999995E-2</v>
      </c>
      <c r="O49" s="108">
        <v>12</v>
      </c>
      <c r="P49" s="108" t="e">
        <f>((U380+Z380)*Z382)/U379</f>
        <v>#DIV/0!</v>
      </c>
      <c r="Q49" s="112" t="e">
        <f t="shared" si="20"/>
        <v>#DIV/0!</v>
      </c>
      <c r="R49" s="108"/>
      <c r="S49" s="116"/>
      <c r="T49" s="118">
        <f>+I25</f>
        <v>4.0416666666666682E-5</v>
      </c>
      <c r="U49" s="69">
        <f t="shared" si="21"/>
        <v>3.6439080444696105E-9</v>
      </c>
      <c r="V49" s="69">
        <f t="shared" si="22"/>
        <v>3.5734092708333347E-5</v>
      </c>
      <c r="W49" s="69">
        <f t="shared" si="23"/>
        <v>0.57891172563229198</v>
      </c>
      <c r="X49" s="69">
        <f t="shared" si="24"/>
        <v>0.76086248799128742</v>
      </c>
      <c r="Y49" s="70">
        <f t="shared" si="25"/>
        <v>2.7340987576005209E-5</v>
      </c>
      <c r="Z49" s="70">
        <f t="shared" si="26"/>
        <v>3.8675726183175819E-6</v>
      </c>
      <c r="AA49" s="70">
        <f t="shared" si="27"/>
        <v>1.573883122029779E-13</v>
      </c>
      <c r="AB49" s="70">
        <f t="shared" si="28"/>
        <v>1.1945592671360862E-10</v>
      </c>
      <c r="AC49" s="70">
        <f>(($T$48*W49)*SQRT($R$12*U49))*(1-E64)</f>
        <v>1.3777478189805092E-8</v>
      </c>
      <c r="AD49" s="70"/>
      <c r="AE49" s="70"/>
      <c r="AF49" s="70"/>
      <c r="AG49" s="70"/>
      <c r="AH49" s="71"/>
    </row>
    <row r="50" spans="1:34" ht="15.75" thickBot="1" x14ac:dyDescent="0.3">
      <c r="A50" s="106">
        <v>27</v>
      </c>
      <c r="B50" s="107"/>
      <c r="C50" s="107"/>
      <c r="D50" s="102">
        <f>Hoja1!D37/100</f>
        <v>1.7916666666666672E-4</v>
      </c>
      <c r="E50" s="102">
        <f>Hoja1!E37/100</f>
        <v>3.0695833333333322E-3</v>
      </c>
      <c r="F50" s="102">
        <f>Hoja1!F37/100</f>
        <v>2.9208333333333349E-4</v>
      </c>
      <c r="G50" s="102">
        <f>Hoja1!G37/100</f>
        <v>4.6125000000000007E-4</v>
      </c>
      <c r="H50" s="102">
        <f>Hoja1!H37/100</f>
        <v>1.1291666666666671E-4</v>
      </c>
      <c r="I50" s="102">
        <f>Hoja1!I37/100</f>
        <v>1.0833333333333336E-4</v>
      </c>
      <c r="J50" s="102">
        <f>Hoja1!J37/100</f>
        <v>3.6597916666666674E-2</v>
      </c>
      <c r="K50" s="102">
        <f>Hoja1!K37/100</f>
        <v>0.90453791666666672</v>
      </c>
      <c r="L50" s="102">
        <f>Hoja1!L37/100</f>
        <v>2.2937499999999998E-3</v>
      </c>
      <c r="M50" s="102">
        <f>Hoja1!M37/100</f>
        <v>5.2347083333333336E-2</v>
      </c>
      <c r="O50" s="108">
        <v>13</v>
      </c>
      <c r="P50" s="108" t="e">
        <f>((U412+Z412)*Z414)/U411</f>
        <v>#DIV/0!</v>
      </c>
      <c r="Q50" s="112" t="e">
        <f t="shared" si="20"/>
        <v>#DIV/0!</v>
      </c>
      <c r="R50" s="108"/>
      <c r="S50" s="116"/>
      <c r="T50" s="118">
        <f>+H25</f>
        <v>5.4583333333333357E-5</v>
      </c>
      <c r="U50" s="69">
        <f t="shared" si="21"/>
        <v>4.8094445904200207E-9</v>
      </c>
      <c r="V50" s="69">
        <f t="shared" si="22"/>
        <v>4.8259444791666687E-5</v>
      </c>
      <c r="W50" s="69">
        <f t="shared" si="23"/>
        <v>0.54235185847350886</v>
      </c>
      <c r="X50" s="69">
        <f t="shared" si="24"/>
        <v>0.73644542124553181</v>
      </c>
      <c r="Y50" s="70">
        <f t="shared" si="25"/>
        <v>3.4723016864254946E-5</v>
      </c>
      <c r="Z50" s="70">
        <f t="shared" si="26"/>
        <v>4.9118119408177483E-6</v>
      </c>
      <c r="AA50" s="70">
        <f t="shared" si="27"/>
        <v>2.0375730850761047E-13</v>
      </c>
      <c r="AB50" s="70">
        <f t="shared" si="28"/>
        <v>1.8452337540806713E-10</v>
      </c>
      <c r="AC50" s="70">
        <f>(($T$48*W50)*SQRT($R$12*U50))*(1-E65)</f>
        <v>1.4828672619711849E-8</v>
      </c>
      <c r="AD50" s="70">
        <f>(($T$49*X50)*SQRT($R$13*V50))*(1-F65)</f>
        <v>3.4579835130848764E-7</v>
      </c>
      <c r="AE50" s="70"/>
      <c r="AF50" s="70"/>
      <c r="AG50" s="70"/>
      <c r="AH50" s="71"/>
    </row>
    <row r="51" spans="1:34" ht="15.75" thickBot="1" x14ac:dyDescent="0.3">
      <c r="A51" s="106">
        <v>28</v>
      </c>
      <c r="B51" s="107"/>
      <c r="C51" s="107"/>
      <c r="D51" s="102">
        <f>Hoja1!D38/100</f>
        <v>2.2666666666666668E-4</v>
      </c>
      <c r="E51" s="102">
        <f>Hoja1!E38/100</f>
        <v>3.6137499999999993E-3</v>
      </c>
      <c r="F51" s="102">
        <f>Hoja1!F38/100</f>
        <v>3.7625000000000017E-4</v>
      </c>
      <c r="G51" s="102">
        <f>Hoja1!G38/100</f>
        <v>6.3166666666666677E-4</v>
      </c>
      <c r="H51" s="102">
        <f>Hoja1!H38/100</f>
        <v>1.5583333333333337E-4</v>
      </c>
      <c r="I51" s="102">
        <f>Hoja1!I38/100</f>
        <v>1.5625000000000003E-4</v>
      </c>
      <c r="J51" s="102">
        <f>Hoja1!J38/100</f>
        <v>3.7516666666666663E-2</v>
      </c>
      <c r="K51" s="102">
        <f>Hoja1!K38/100</f>
        <v>0.90437291666666664</v>
      </c>
      <c r="L51" s="102">
        <f>Hoja1!L38/100</f>
        <v>2.2695833333333331E-3</v>
      </c>
      <c r="M51" s="102">
        <f>Hoja1!M38/100</f>
        <v>5.0674166666666666E-2</v>
      </c>
      <c r="O51" s="108">
        <v>14</v>
      </c>
      <c r="P51" s="108" t="e">
        <f>((U444+Z444)*Z446)/U443</f>
        <v>#DIV/0!</v>
      </c>
      <c r="Q51" s="112" t="e">
        <f t="shared" si="20"/>
        <v>#DIV/0!</v>
      </c>
      <c r="R51" s="108"/>
      <c r="S51" s="116"/>
      <c r="T51" s="118">
        <f>+D25</f>
        <v>1.1375000000000003E-4</v>
      </c>
      <c r="U51" s="69">
        <f t="shared" si="21"/>
        <v>1.2347069613646613E-8</v>
      </c>
      <c r="V51" s="69">
        <f t="shared" si="22"/>
        <v>1.0057120937500001E-4</v>
      </c>
      <c r="W51" s="69">
        <f t="shared" si="23"/>
        <v>0.8050809492880614</v>
      </c>
      <c r="X51" s="69">
        <f t="shared" si="24"/>
        <v>0.89726303238685889</v>
      </c>
      <c r="Y51" s="70">
        <f t="shared" si="25"/>
        <v>8.6430749740592984E-5</v>
      </c>
      <c r="Z51" s="70">
        <f t="shared" si="26"/>
        <v>1.2226229946819579E-5</v>
      </c>
      <c r="AA51" s="70">
        <f t="shared" si="27"/>
        <v>5.9100768394039353E-13</v>
      </c>
      <c r="AB51" s="70">
        <f t="shared" si="28"/>
        <v>5.6995108071868629E-10</v>
      </c>
      <c r="AC51" s="70">
        <f>(($T$48*W51)*SQRT($R$12*U51))*(1-E66)</f>
        <v>3.5269165178294605E-8</v>
      </c>
      <c r="AD51" s="70">
        <f>(($T$49*X51)*SQRT($R$13*V51))*(1-F66)</f>
        <v>6.1160787309066955E-7</v>
      </c>
      <c r="AE51" s="70">
        <f>(($T$50*Y51)*SQRT($R$14*W51))*(1-G66)</f>
        <v>6.8519344779774946E-9</v>
      </c>
      <c r="AF51" s="70"/>
      <c r="AG51" s="70"/>
      <c r="AH51" s="71"/>
    </row>
    <row r="52" spans="1:34" ht="15.75" thickBot="1" x14ac:dyDescent="0.3">
      <c r="A52" s="106">
        <v>29</v>
      </c>
      <c r="B52" s="107"/>
      <c r="C52" s="107"/>
      <c r="D52" s="102">
        <f>Hoja1!D39/100</f>
        <v>2.1541666666666671E-4</v>
      </c>
      <c r="E52" s="102">
        <f>Hoja1!E39/100</f>
        <v>3.7545833333333329E-3</v>
      </c>
      <c r="F52" s="102">
        <f>Hoja1!F39/100</f>
        <v>3.4333333333333357E-4</v>
      </c>
      <c r="G52" s="102">
        <f>Hoja1!G39/100</f>
        <v>5.6333333333333344E-4</v>
      </c>
      <c r="H52" s="102">
        <f>Hoja1!H39/100</f>
        <v>1.4125000000000007E-4</v>
      </c>
      <c r="I52" s="102">
        <f>Hoja1!I39/100</f>
        <v>1.3958333333333341E-4</v>
      </c>
      <c r="J52" s="102">
        <f>Hoja1!J39/100</f>
        <v>4.314458333333332E-2</v>
      </c>
      <c r="K52" s="102">
        <f>Hoja1!K39/100</f>
        <v>0.89818791666666686</v>
      </c>
      <c r="L52" s="102">
        <f>Hoja1!L39/100</f>
        <v>1.9745833333333334E-3</v>
      </c>
      <c r="M52" s="102">
        <f>Hoja1!M39/100</f>
        <v>5.1536666666666668E-2</v>
      </c>
      <c r="O52" s="108">
        <v>15</v>
      </c>
      <c r="P52" s="108" t="e">
        <f>((U476+Z476)*Z478)/U475</f>
        <v>#DIV/0!</v>
      </c>
      <c r="Q52" s="112" t="e">
        <f t="shared" si="20"/>
        <v>#DIV/0!</v>
      </c>
      <c r="R52" s="108"/>
      <c r="S52" s="116"/>
      <c r="T52" s="118">
        <f>+J25</f>
        <v>3.6782499999999996E-2</v>
      </c>
      <c r="U52" s="69">
        <f t="shared" si="21"/>
        <v>8.8315704662806361E-7</v>
      </c>
      <c r="V52" s="69">
        <f t="shared" si="22"/>
        <v>3.2520971506249996E-2</v>
      </c>
      <c r="W52" s="69">
        <f t="shared" si="23"/>
        <v>1.8651528335962096E-2</v>
      </c>
      <c r="X52" s="69">
        <f t="shared" si="24"/>
        <v>0.13657059835836591</v>
      </c>
      <c r="Y52" s="70">
        <f t="shared" si="25"/>
        <v>4.3032807322782272E-3</v>
      </c>
      <c r="Z52" s="70">
        <f t="shared" si="26"/>
        <v>6.0872895255982757E-4</v>
      </c>
      <c r="AA52" s="70">
        <f t="shared" si="27"/>
        <v>1.8671329031095361E-11</v>
      </c>
      <c r="AB52" s="70">
        <f t="shared" si="28"/>
        <v>3.0339093995800996E-6</v>
      </c>
      <c r="AC52" s="70">
        <f>(($T$48*W52)*SQRT($R$12*U52))*(1-E67)</f>
        <v>6.1966111628355031E-9</v>
      </c>
      <c r="AD52" s="70">
        <f>(($T$49*X52)*SQRT($R$13*V52))*(1-F67)</f>
        <v>1.531503474297368E-6</v>
      </c>
      <c r="AE52" s="70">
        <f>(($T$50*Y52)*SQRT($R$14*W52))*(1-G67)</f>
        <v>4.7138115439940577E-8</v>
      </c>
      <c r="AF52" s="70">
        <f>(($T$51*Z52)*SQRT($R$15*X52))*(1-H67)</f>
        <v>4.5419335905028978E-8</v>
      </c>
      <c r="AG52" s="70"/>
      <c r="AH52" s="71"/>
    </row>
    <row r="53" spans="1:34" ht="15.75" thickBot="1" x14ac:dyDescent="0.3">
      <c r="A53" s="106">
        <v>30</v>
      </c>
      <c r="B53" s="107"/>
      <c r="C53" s="107"/>
      <c r="D53" s="102">
        <f>Hoja1!D41/100</f>
        <v>2.170833333333334E-4</v>
      </c>
      <c r="E53" s="102">
        <f>Hoja1!E41/100</f>
        <v>3.2741666666666665E-3</v>
      </c>
      <c r="F53" s="102">
        <f>Hoja1!F41/100</f>
        <v>3.0833333333333347E-4</v>
      </c>
      <c r="G53" s="102">
        <f>Hoja1!G41/100</f>
        <v>4.9458333333333331E-4</v>
      </c>
      <c r="H53" s="102">
        <f>Hoja1!H41/100</f>
        <v>1.2750000000000004E-4</v>
      </c>
      <c r="I53" s="102">
        <f>Hoja1!I41/100</f>
        <v>1.2500000000000006E-4</v>
      </c>
      <c r="J53" s="102">
        <f>Hoja1!J41/100</f>
        <v>4.4172083333333327E-2</v>
      </c>
      <c r="K53" s="102">
        <f>Hoja1!K41/100</f>
        <v>0.89798624999999999</v>
      </c>
      <c r="L53" s="102">
        <f>Hoja1!L41/100</f>
        <v>1.6224999999999998E-3</v>
      </c>
      <c r="M53" s="102">
        <f>Hoja1!M41/100</f>
        <v>5.1674999999999999E-2</v>
      </c>
      <c r="O53" s="108">
        <v>16</v>
      </c>
      <c r="P53" s="108" t="e">
        <f>((U508+Z508)*Z510)/U507</f>
        <v>#DIV/0!</v>
      </c>
      <c r="Q53" s="112" t="e">
        <f t="shared" si="20"/>
        <v>#DIV/0!</v>
      </c>
      <c r="R53" s="108"/>
      <c r="S53" s="116"/>
      <c r="T53" s="118">
        <f>L25</f>
        <v>1.9445833333333331E-3</v>
      </c>
      <c r="U53" s="69">
        <f t="shared" si="21"/>
        <v>5.1830265535891306E-8</v>
      </c>
      <c r="V53" s="69">
        <f t="shared" si="22"/>
        <v>1.7192887697916664E-3</v>
      </c>
      <c r="W53" s="69">
        <f t="shared" si="23"/>
        <v>8.5334097849090448E-2</v>
      </c>
      <c r="X53" s="69">
        <f t="shared" si="24"/>
        <v>0.29212000590355064</v>
      </c>
      <c r="Y53" s="70">
        <f t="shared" si="25"/>
        <v>4.5608291405251463E-4</v>
      </c>
      <c r="Z53" s="70">
        <f t="shared" si="26"/>
        <v>6.4516096398070384E-5</v>
      </c>
      <c r="AA53" s="70">
        <f t="shared" si="27"/>
        <v>1.0562899021559454E-12</v>
      </c>
      <c r="AB53" s="70">
        <f t="shared" si="28"/>
        <v>3.5310913353378393E-8</v>
      </c>
      <c r="AC53" s="70">
        <f>(($T$48*W53)*SQRT($R$12*U53))*(1-E68)</f>
        <v>6.7401672342543447E-9</v>
      </c>
      <c r="AD53" s="70">
        <f>(($T$49*X53)*SQRT($R$13*V53))*(1-F68)</f>
        <v>7.095707454924815E-7</v>
      </c>
      <c r="AE53" s="70">
        <f>(($T$50*Y53)*SQRT($R$14*W53))*(1-G68)</f>
        <v>9.1935085334370607E-9</v>
      </c>
      <c r="AF53" s="70">
        <f>(($T$51*Z53)*SQRT($R$15*X53))*(1-H68)</f>
        <v>6.8665725831590236E-9</v>
      </c>
      <c r="AG53" s="70">
        <f>(($T$52*AA53)*SQRT($R$16*Y53))*(1-I68)</f>
        <v>2.2167566386207589E-16</v>
      </c>
      <c r="AH53" s="71"/>
    </row>
    <row r="54" spans="1:34" ht="15.75" thickBot="1" x14ac:dyDescent="0.3">
      <c r="A54" s="106">
        <v>31</v>
      </c>
      <c r="B54" s="119"/>
      <c r="C54" s="119"/>
      <c r="D54" s="102" t="e">
        <f>Hoja1!#REF!/100</f>
        <v>#REF!</v>
      </c>
      <c r="E54" s="102" t="e">
        <f>Hoja1!#REF!/100</f>
        <v>#REF!</v>
      </c>
      <c r="F54" s="102" t="e">
        <f>Hoja1!#REF!/100</f>
        <v>#REF!</v>
      </c>
      <c r="G54" s="102" t="e">
        <f>Hoja1!#REF!/100</f>
        <v>#REF!</v>
      </c>
      <c r="H54" s="102" t="e">
        <f>Hoja1!#REF!/100</f>
        <v>#REF!</v>
      </c>
      <c r="I54" s="102" t="e">
        <f>Hoja1!#REF!/100</f>
        <v>#REF!</v>
      </c>
      <c r="J54" s="102" t="e">
        <f>Hoja1!#REF!/100</f>
        <v>#REF!</v>
      </c>
      <c r="K54" s="102" t="e">
        <f>Hoja1!#REF!/100</f>
        <v>#REF!</v>
      </c>
      <c r="L54" s="102" t="e">
        <f>Hoja1!#REF!/100</f>
        <v>#REF!</v>
      </c>
      <c r="M54" s="102" t="e">
        <f>Hoja1!#REF!/100</f>
        <v>#REF!</v>
      </c>
      <c r="O54" s="108">
        <v>17</v>
      </c>
      <c r="P54" s="108" t="e">
        <f>((U540+Z540)*Z542)/U539</f>
        <v>#DIV/0!</v>
      </c>
      <c r="Q54" s="112" t="e">
        <f t="shared" si="20"/>
        <v>#DIV/0!</v>
      </c>
      <c r="R54" s="108"/>
      <c r="S54" s="116"/>
      <c r="T54" s="120" t="s">
        <v>77</v>
      </c>
      <c r="U54" s="75">
        <f>SUM(U44:U53)</f>
        <v>2.7859808479909961E-5</v>
      </c>
      <c r="V54" s="73"/>
      <c r="W54" s="73"/>
      <c r="X54" s="73"/>
      <c r="Y54" s="76">
        <f>SUM(Y45:Y53)</f>
        <v>3.0025055361210463E-2</v>
      </c>
      <c r="Z54" s="76">
        <f t="shared" ref="Z54:AG54" si="29">SUM(Z45:Z53)</f>
        <v>1.0010790486086219E-3</v>
      </c>
      <c r="AA54" s="76">
        <f t="shared" si="29"/>
        <v>2.2598464635273211E-11</v>
      </c>
      <c r="AB54" s="76">
        <f t="shared" si="29"/>
        <v>3.0724936091844095E-6</v>
      </c>
      <c r="AC54" s="76">
        <f t="shared" si="29"/>
        <v>7.681209438490139E-8</v>
      </c>
      <c r="AD54" s="76">
        <f t="shared" si="29"/>
        <v>3.1984804441890067E-6</v>
      </c>
      <c r="AE54" s="76">
        <f t="shared" si="29"/>
        <v>6.3183558451355128E-8</v>
      </c>
      <c r="AF54" s="76">
        <f t="shared" si="29"/>
        <v>5.2285908488188001E-8</v>
      </c>
      <c r="AG54" s="76">
        <f t="shared" si="29"/>
        <v>2.2167566386207589E-16</v>
      </c>
      <c r="AH54" s="77">
        <f>SUM(Y54:AG54)</f>
        <v>3.103259768803247E-2</v>
      </c>
    </row>
    <row r="55" spans="1:34" ht="15.75" thickBot="1" x14ac:dyDescent="0.3">
      <c r="O55" s="108">
        <v>18</v>
      </c>
      <c r="P55" s="108" t="e">
        <f>((U572+Z572)*Z574)/U571</f>
        <v>#DIV/0!</v>
      </c>
      <c r="Q55" s="112" t="e">
        <f t="shared" si="20"/>
        <v>#DIV/0!</v>
      </c>
      <c r="R55" s="108"/>
      <c r="S55" s="116"/>
    </row>
    <row r="56" spans="1:34" ht="15.75" thickBot="1" x14ac:dyDescent="0.3">
      <c r="O56" s="108">
        <v>19</v>
      </c>
      <c r="P56" s="108" t="e">
        <f>((U604+Z604)*Z606)/U603</f>
        <v>#DIV/0!</v>
      </c>
      <c r="Q56" s="112" t="e">
        <f t="shared" si="20"/>
        <v>#DIV/0!</v>
      </c>
      <c r="R56" s="108"/>
      <c r="S56" s="116"/>
      <c r="T56" s="90" t="s">
        <v>99</v>
      </c>
      <c r="U56" s="91"/>
      <c r="V56" s="91"/>
      <c r="W56" s="91"/>
      <c r="X56" s="91"/>
      <c r="Y56" s="91"/>
      <c r="Z56" s="91"/>
      <c r="AA56" s="91"/>
      <c r="AB56" s="92"/>
    </row>
    <row r="57" spans="1:34" ht="16.5" thickTop="1" thickBot="1" x14ac:dyDescent="0.3">
      <c r="D57" s="176" t="s">
        <v>122</v>
      </c>
      <c r="E57" s="177"/>
      <c r="F57" s="177"/>
      <c r="G57" s="177"/>
      <c r="H57" s="177"/>
      <c r="I57" s="178"/>
      <c r="O57" s="108">
        <v>20</v>
      </c>
      <c r="P57" s="108" t="e">
        <f>((U636+Z636)*Z638)/U635</f>
        <v>#DIV/0!</v>
      </c>
      <c r="Q57" s="112" t="e">
        <f t="shared" si="20"/>
        <v>#DIV/0!</v>
      </c>
      <c r="R57" s="108"/>
      <c r="S57" s="116"/>
      <c r="T57" s="95" t="s">
        <v>100</v>
      </c>
      <c r="U57" s="96">
        <f>+AH54</f>
        <v>3.103259768803247E-2</v>
      </c>
      <c r="V57" s="96" t="s">
        <v>101</v>
      </c>
      <c r="W57" s="97"/>
      <c r="X57" s="98"/>
      <c r="Y57" s="98"/>
      <c r="Z57" s="98"/>
      <c r="AA57" s="98"/>
      <c r="AB57" s="99"/>
    </row>
    <row r="58" spans="1:34" x14ac:dyDescent="0.25">
      <c r="A58" s="121"/>
      <c r="B58" s="63" t="s">
        <v>30</v>
      </c>
      <c r="C58" s="63" t="s">
        <v>32</v>
      </c>
      <c r="D58" s="63" t="s">
        <v>81</v>
      </c>
      <c r="E58" s="63" t="s">
        <v>25</v>
      </c>
      <c r="F58" s="63" t="s">
        <v>26</v>
      </c>
      <c r="G58" s="63" t="s">
        <v>27</v>
      </c>
      <c r="H58" s="63" t="s">
        <v>28</v>
      </c>
      <c r="I58" s="63" t="s">
        <v>82</v>
      </c>
      <c r="J58" s="63" t="s">
        <v>29</v>
      </c>
      <c r="K58" s="122" t="s">
        <v>31</v>
      </c>
      <c r="O58" s="108">
        <v>21</v>
      </c>
      <c r="P58" s="108" t="e">
        <f>((U668+Z668)*Z670)/U667</f>
        <v>#DIV/0!</v>
      </c>
      <c r="Q58" s="112" t="e">
        <f t="shared" si="20"/>
        <v>#DIV/0!</v>
      </c>
      <c r="R58" s="108"/>
      <c r="S58" s="116"/>
      <c r="T58" s="95" t="s">
        <v>103</v>
      </c>
      <c r="U58" s="96">
        <f>+U54</f>
        <v>2.7859808479909961E-5</v>
      </c>
      <c r="V58" s="96" t="s">
        <v>101</v>
      </c>
      <c r="W58" s="98"/>
      <c r="X58" s="98"/>
      <c r="Y58" s="98"/>
      <c r="Z58" s="105">
        <f>(U62*U62)+(2*U58*U62)-(U58*U58)</f>
        <v>3.1007146820569057E-7</v>
      </c>
      <c r="AA58" s="98"/>
      <c r="AB58" s="99"/>
    </row>
    <row r="59" spans="1:34" x14ac:dyDescent="0.25">
      <c r="A59" s="123" t="s">
        <v>30</v>
      </c>
      <c r="B59" s="69"/>
      <c r="C59" s="69">
        <f>B60</f>
        <v>-2.5999999999999999E-3</v>
      </c>
      <c r="D59" s="69">
        <f>B61</f>
        <v>1.4E-2</v>
      </c>
      <c r="E59" s="69">
        <v>2.5600000000000001E-2</v>
      </c>
      <c r="F59" s="69">
        <v>1.3299999999999999E-2</v>
      </c>
      <c r="G59" s="69">
        <f>B64</f>
        <v>-5.5999999999999999E-3</v>
      </c>
      <c r="H59" s="69">
        <v>2.3E-2</v>
      </c>
      <c r="I59" s="69">
        <v>4.2200000000000001E-2</v>
      </c>
      <c r="J59" s="69">
        <v>3.1099999999999999E-2</v>
      </c>
      <c r="K59" s="124">
        <v>9.1899999999999996E-2</v>
      </c>
      <c r="O59" s="108">
        <v>22</v>
      </c>
      <c r="P59" s="108" t="e">
        <f>((U700+Z700)*Z702)/U699</f>
        <v>#DIV/0!</v>
      </c>
      <c r="Q59" s="112" t="e">
        <f t="shared" si="20"/>
        <v>#DIV/0!</v>
      </c>
      <c r="R59" s="108"/>
      <c r="S59" s="116"/>
      <c r="T59" s="95" t="s">
        <v>104</v>
      </c>
      <c r="U59" s="96">
        <v>8.3145100000000003</v>
      </c>
      <c r="V59" s="96" t="s">
        <v>105</v>
      </c>
      <c r="W59" s="98"/>
      <c r="X59" s="98"/>
      <c r="Y59" s="98"/>
      <c r="Z59" s="105"/>
      <c r="AA59" s="98"/>
      <c r="AB59" s="99"/>
    </row>
    <row r="60" spans="1:34" x14ac:dyDescent="0.25">
      <c r="A60" s="123" t="s">
        <v>32</v>
      </c>
      <c r="B60" s="69">
        <v>-2.5999999999999999E-3</v>
      </c>
      <c r="C60" s="69"/>
      <c r="D60" s="69">
        <f>C61</f>
        <v>1.1000000000000001E-3</v>
      </c>
      <c r="E60" s="69">
        <v>-6.7000000000000002E-3</v>
      </c>
      <c r="F60" s="69">
        <v>9.5999999999999992E-3</v>
      </c>
      <c r="G60" s="69"/>
      <c r="H60" s="69">
        <v>7.7999999999999996E-3</v>
      </c>
      <c r="I60" s="69">
        <v>-0.01</v>
      </c>
      <c r="J60" s="69">
        <v>5.1499999999999997E-2</v>
      </c>
      <c r="K60" s="124">
        <v>0.13220000000000001</v>
      </c>
      <c r="O60" s="108">
        <v>23</v>
      </c>
      <c r="P60" s="108" t="e">
        <f>((U732+Z732)*Z734)/U731</f>
        <v>#DIV/0!</v>
      </c>
      <c r="Q60" s="112" t="e">
        <f t="shared" si="20"/>
        <v>#DIV/0!</v>
      </c>
      <c r="R60" s="108"/>
      <c r="S60" s="116"/>
      <c r="T60" s="95" t="s">
        <v>106</v>
      </c>
      <c r="U60" s="109">
        <f>B25*98066.5</f>
        <v>4463006.415</v>
      </c>
      <c r="V60" s="110" t="s">
        <v>107</v>
      </c>
      <c r="W60" s="98"/>
      <c r="X60" s="98"/>
      <c r="Y60" s="98"/>
      <c r="Z60" s="105">
        <f>U57/Z58</f>
        <v>100082.08064937638</v>
      </c>
      <c r="AA60" s="98"/>
      <c r="AB60" s="99"/>
    </row>
    <row r="61" spans="1:34" x14ac:dyDescent="0.25">
      <c r="A61" s="123" t="s">
        <v>81</v>
      </c>
      <c r="B61" s="69">
        <v>1.4E-2</v>
      </c>
      <c r="C61" s="69">
        <v>1.1000000000000001E-3</v>
      </c>
      <c r="D61" s="69"/>
      <c r="E61" s="69">
        <v>-7.7999999999999996E-3</v>
      </c>
      <c r="F61" s="69">
        <v>3.3E-3</v>
      </c>
      <c r="G61" s="69">
        <f>D64</f>
        <v>1.11E-2</v>
      </c>
      <c r="H61" s="69">
        <v>2.6700000000000002E-2</v>
      </c>
      <c r="I61" s="69">
        <v>6.9999999999999999E-4</v>
      </c>
      <c r="J61" s="69">
        <v>8.5199999999999998E-2</v>
      </c>
      <c r="K61" s="124">
        <v>0.1241</v>
      </c>
      <c r="O61" s="108">
        <v>24</v>
      </c>
      <c r="P61" s="108" t="e">
        <f>((U764+Z764)*Z766)/U763</f>
        <v>#DIV/0!</v>
      </c>
      <c r="Q61" s="112" t="e">
        <f t="shared" si="20"/>
        <v>#DIV/0!</v>
      </c>
      <c r="R61" s="108"/>
      <c r="S61" s="116"/>
      <c r="T61" s="95" t="s">
        <v>108</v>
      </c>
      <c r="U61" s="109" t="s">
        <v>109</v>
      </c>
      <c r="V61" s="96" t="s">
        <v>110</v>
      </c>
      <c r="W61" s="98"/>
      <c r="X61" s="98"/>
      <c r="Y61" s="98"/>
      <c r="Z61" s="105"/>
      <c r="AA61" s="98"/>
      <c r="AB61" s="99"/>
    </row>
    <row r="62" spans="1:34" x14ac:dyDescent="0.25">
      <c r="A62" s="123" t="s">
        <v>25</v>
      </c>
      <c r="B62" s="69">
        <v>2.5600000000000001E-2</v>
      </c>
      <c r="C62" s="69">
        <v>-6.7000000000000002E-3</v>
      </c>
      <c r="D62" s="69">
        <v>-7.7999999999999996E-3</v>
      </c>
      <c r="E62" s="69"/>
      <c r="F62" s="69">
        <v>-4.0000000000000002E-4</v>
      </c>
      <c r="G62" s="69"/>
      <c r="H62" s="69"/>
      <c r="I62" s="69"/>
      <c r="J62" s="69">
        <v>0.1033</v>
      </c>
      <c r="K62" s="124">
        <v>0.12</v>
      </c>
      <c r="O62" s="108">
        <v>25</v>
      </c>
      <c r="P62" s="108" t="e">
        <f>((U796+Z796)*Z798)/U795</f>
        <v>#DIV/0!</v>
      </c>
      <c r="Q62" s="112" t="e">
        <f t="shared" si="20"/>
        <v>#DIV/0!</v>
      </c>
      <c r="R62" s="108"/>
      <c r="S62" s="116"/>
      <c r="T62" s="95" t="s">
        <v>112</v>
      </c>
      <c r="U62" s="96">
        <f>+U70</f>
        <v>5.3037294410879753E-4</v>
      </c>
      <c r="V62" s="96" t="s">
        <v>113</v>
      </c>
      <c r="W62" s="98"/>
      <c r="X62" s="98"/>
      <c r="Y62" s="98"/>
      <c r="Z62" s="105">
        <f>U62-U58</f>
        <v>5.0251313562888757E-4</v>
      </c>
      <c r="AA62" s="98"/>
      <c r="AB62" s="99"/>
    </row>
    <row r="63" spans="1:34" x14ac:dyDescent="0.25">
      <c r="A63" s="123" t="s">
        <v>26</v>
      </c>
      <c r="B63" s="69">
        <v>1.3299999999999999E-2</v>
      </c>
      <c r="C63" s="69">
        <v>9.5999999999999992E-3</v>
      </c>
      <c r="D63" s="69">
        <v>3.3E-3</v>
      </c>
      <c r="E63" s="69">
        <v>-4.0000000000000002E-4</v>
      </c>
      <c r="F63" s="69"/>
      <c r="G63" s="69">
        <v>-4.0000000000000002E-4</v>
      </c>
      <c r="H63" s="69">
        <v>1.7399999999999999E-2</v>
      </c>
      <c r="I63" s="69">
        <v>-5.5999999999999999E-3</v>
      </c>
      <c r="J63" s="69">
        <v>0.08</v>
      </c>
      <c r="K63" s="124">
        <v>0.1333</v>
      </c>
      <c r="O63" s="108">
        <v>26</v>
      </c>
      <c r="P63" s="108" t="e">
        <f>((U828+Z828)*Z830)/U827</f>
        <v>#DIV/0!</v>
      </c>
      <c r="Q63" s="112" t="e">
        <f t="shared" si="20"/>
        <v>#DIV/0!</v>
      </c>
      <c r="R63" s="108"/>
      <c r="S63" s="116"/>
      <c r="T63" s="111"/>
      <c r="U63" s="98"/>
      <c r="V63" s="98"/>
      <c r="W63" s="98"/>
      <c r="X63" s="98"/>
      <c r="Y63" s="98"/>
      <c r="Z63" s="98"/>
      <c r="AA63" s="98"/>
      <c r="AB63" s="99"/>
    </row>
    <row r="64" spans="1:34" x14ac:dyDescent="0.25">
      <c r="A64" s="123" t="s">
        <v>27</v>
      </c>
      <c r="B64" s="69">
        <v>-5.5999999999999999E-3</v>
      </c>
      <c r="C64" s="69"/>
      <c r="D64" s="69">
        <v>1.11E-2</v>
      </c>
      <c r="E64" s="69"/>
      <c r="F64" s="69"/>
      <c r="G64" s="69"/>
      <c r="H64" s="69"/>
      <c r="I64" s="69"/>
      <c r="J64" s="69">
        <v>9.2200000000000004E-2</v>
      </c>
      <c r="K64" s="124">
        <v>0.12189999999999999</v>
      </c>
      <c r="O64" s="108">
        <v>27</v>
      </c>
      <c r="P64" s="108" t="e">
        <f>((U860+Z860)*Z862)/U859</f>
        <v>#DIV/0!</v>
      </c>
      <c r="Q64" s="112" t="e">
        <f t="shared" si="20"/>
        <v>#DIV/0!</v>
      </c>
      <c r="R64" s="108"/>
      <c r="S64" s="116"/>
      <c r="T64" s="111"/>
      <c r="U64" s="98"/>
      <c r="V64" s="98"/>
      <c r="W64" s="98"/>
      <c r="X64" s="98"/>
      <c r="Y64" s="98"/>
      <c r="Z64" s="98"/>
      <c r="AA64" s="98"/>
      <c r="AB64" s="99"/>
    </row>
    <row r="65" spans="1:34" x14ac:dyDescent="0.25">
      <c r="A65" s="123" t="s">
        <v>28</v>
      </c>
      <c r="B65" s="69">
        <v>2.3E-2</v>
      </c>
      <c r="C65" s="69">
        <v>7.7999999999999996E-3</v>
      </c>
      <c r="D65" s="69">
        <v>2.6700000000000002E-2</v>
      </c>
      <c r="E65" s="69"/>
      <c r="F65" s="69"/>
      <c r="G65" s="69"/>
      <c r="H65" s="69"/>
      <c r="I65" s="69"/>
      <c r="J65" s="69">
        <v>0.1</v>
      </c>
      <c r="K65" s="124">
        <v>0.1222</v>
      </c>
      <c r="O65" s="108">
        <v>28</v>
      </c>
      <c r="P65" s="108" t="e">
        <f>((U892+Z892)*Z894)/U891</f>
        <v>#DIV/0!</v>
      </c>
      <c r="Q65" s="112" t="e">
        <f t="shared" si="20"/>
        <v>#DIV/0!</v>
      </c>
      <c r="R65" s="108"/>
      <c r="S65" s="116"/>
      <c r="T65" s="111"/>
      <c r="U65" s="98"/>
      <c r="V65" s="98"/>
      <c r="W65" s="98"/>
      <c r="X65" s="98"/>
      <c r="Y65" s="98"/>
      <c r="Z65" s="98"/>
      <c r="AA65" s="98"/>
      <c r="AB65" s="99"/>
    </row>
    <row r="66" spans="1:34" x14ac:dyDescent="0.25">
      <c r="A66" s="123" t="s">
        <v>82</v>
      </c>
      <c r="B66" s="69">
        <v>4.2200000000000001E-2</v>
      </c>
      <c r="C66" s="69">
        <v>-0.01</v>
      </c>
      <c r="D66" s="69">
        <v>6.9999999999999999E-4</v>
      </c>
      <c r="E66" s="69"/>
      <c r="F66" s="69">
        <v>-5.5999999999999999E-3</v>
      </c>
      <c r="G66" s="69"/>
      <c r="H66" s="69"/>
      <c r="I66" s="69"/>
      <c r="J66" s="69"/>
      <c r="K66" s="124">
        <v>0.11</v>
      </c>
      <c r="O66" s="108">
        <v>29</v>
      </c>
      <c r="P66" s="108" t="e">
        <f>((U924+Z924)*Z926)/U923</f>
        <v>#DIV/0!</v>
      </c>
      <c r="Q66" s="112" t="e">
        <f t="shared" si="20"/>
        <v>#DIV/0!</v>
      </c>
      <c r="R66" s="108"/>
      <c r="S66" s="116"/>
      <c r="T66" s="111" t="s">
        <v>116</v>
      </c>
      <c r="U66" s="98">
        <v>0.98</v>
      </c>
      <c r="V66" s="98"/>
      <c r="W66" s="98"/>
      <c r="X66" s="98"/>
      <c r="Y66" s="98"/>
      <c r="Z66" s="98"/>
      <c r="AA66" s="98"/>
      <c r="AB66" s="99"/>
    </row>
    <row r="67" spans="1:34" x14ac:dyDescent="0.25">
      <c r="A67" s="123" t="s">
        <v>29</v>
      </c>
      <c r="B67" s="69">
        <v>3.1099999999999999E-2</v>
      </c>
      <c r="C67" s="69">
        <v>5.1499999999999997E-2</v>
      </c>
      <c r="D67" s="69">
        <v>8.5199999999999998E-2</v>
      </c>
      <c r="E67" s="69">
        <v>0.1033</v>
      </c>
      <c r="F67" s="69">
        <v>0.08</v>
      </c>
      <c r="G67" s="69">
        <v>9.2200000000000004E-2</v>
      </c>
      <c r="H67" s="69">
        <v>0.1</v>
      </c>
      <c r="I67" s="69">
        <v>0.14960000000000001</v>
      </c>
      <c r="J67" s="69">
        <v>0.14960000000000001</v>
      </c>
      <c r="K67" s="124">
        <v>-1.7000000000000001E-2</v>
      </c>
      <c r="O67" s="108">
        <v>30</v>
      </c>
      <c r="P67" s="108" t="e">
        <f>((U956+Z956)*Z958)/U955</f>
        <v>#DIV/0!</v>
      </c>
      <c r="Q67" s="112" t="e">
        <f t="shared" si="20"/>
        <v>#DIV/0!</v>
      </c>
      <c r="R67" s="108"/>
      <c r="S67" s="116"/>
      <c r="T67" s="111" t="s">
        <v>106</v>
      </c>
      <c r="U67" s="113">
        <f>U60</f>
        <v>4463006.415</v>
      </c>
      <c r="V67" s="98" t="s">
        <v>117</v>
      </c>
      <c r="W67" s="98"/>
      <c r="X67" s="98"/>
      <c r="Y67" s="98"/>
      <c r="Z67" s="98"/>
      <c r="AA67" s="98"/>
      <c r="AB67" s="99"/>
    </row>
    <row r="68" spans="1:34" ht="15.75" thickBot="1" x14ac:dyDescent="0.3">
      <c r="A68" s="125" t="s">
        <v>31</v>
      </c>
      <c r="B68" s="126">
        <v>9.1899999999999996E-2</v>
      </c>
      <c r="C68" s="126">
        <v>0.13220000000000001</v>
      </c>
      <c r="D68" s="126">
        <v>0.1241</v>
      </c>
      <c r="E68" s="126">
        <v>0.12</v>
      </c>
      <c r="F68" s="126">
        <v>0.1333</v>
      </c>
      <c r="G68" s="126">
        <v>0.219</v>
      </c>
      <c r="H68" s="126">
        <v>0.1222</v>
      </c>
      <c r="I68" s="126">
        <v>0.11</v>
      </c>
      <c r="J68" s="126">
        <v>-1.7000000000000001E-2</v>
      </c>
      <c r="K68" s="127"/>
      <c r="O68" s="108">
        <v>31</v>
      </c>
      <c r="P68" s="108" t="e">
        <f>((U988+Z988)*Z990)/U987</f>
        <v>#REF!</v>
      </c>
      <c r="Q68" s="112" t="e">
        <f t="shared" si="20"/>
        <v>#REF!</v>
      </c>
      <c r="R68" s="108"/>
      <c r="S68" s="116"/>
      <c r="T68" s="111" t="s">
        <v>118</v>
      </c>
      <c r="U68" s="113">
        <f>C25+273.15</f>
        <v>290.5</v>
      </c>
      <c r="V68" s="98" t="s">
        <v>49</v>
      </c>
      <c r="W68" s="98"/>
      <c r="X68" s="98"/>
      <c r="Y68" s="98"/>
      <c r="Z68" s="98"/>
      <c r="AA68" s="98"/>
      <c r="AB68" s="99"/>
    </row>
    <row r="69" spans="1:34" x14ac:dyDescent="0.25">
      <c r="S69" s="116"/>
      <c r="T69" s="111"/>
      <c r="U69" s="98"/>
      <c r="V69" s="98"/>
      <c r="W69" s="98"/>
      <c r="X69" s="98"/>
      <c r="Y69" s="98"/>
      <c r="Z69" s="98"/>
      <c r="AA69" s="98"/>
      <c r="AB69" s="99"/>
    </row>
    <row r="70" spans="1:34" ht="15.75" thickBot="1" x14ac:dyDescent="0.3">
      <c r="S70" s="116"/>
      <c r="T70" s="72" t="s">
        <v>121</v>
      </c>
      <c r="U70" s="73">
        <f>(0.98*U59*U68)/U67</f>
        <v>5.3037294410879753E-4</v>
      </c>
      <c r="V70" s="73" t="s">
        <v>113</v>
      </c>
      <c r="W70" s="73"/>
      <c r="X70" s="73"/>
      <c r="Y70" s="73"/>
      <c r="Z70" s="73"/>
      <c r="AA70" s="73"/>
      <c r="AB70" s="115"/>
    </row>
    <row r="71" spans="1:34" x14ac:dyDescent="0.25">
      <c r="S71" s="116"/>
    </row>
    <row r="72" spans="1:34" ht="15.75" thickBot="1" x14ac:dyDescent="0.3">
      <c r="S72" s="116"/>
      <c r="AE72" s="128"/>
    </row>
    <row r="73" spans="1:34" ht="15.75" thickBot="1" x14ac:dyDescent="0.3">
      <c r="S73" s="116"/>
      <c r="V73" s="162" t="s">
        <v>60</v>
      </c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4"/>
    </row>
    <row r="74" spans="1:34" ht="15.75" thickBot="1" x14ac:dyDescent="0.3">
      <c r="S74" s="116"/>
      <c r="Y74" s="168" t="s">
        <v>63</v>
      </c>
      <c r="Z74" s="168"/>
      <c r="AA74" s="168"/>
      <c r="AB74" s="168"/>
      <c r="AC74" s="168"/>
      <c r="AD74" s="168"/>
      <c r="AE74" s="168"/>
      <c r="AF74" s="168"/>
      <c r="AG74" s="168"/>
      <c r="AH74" s="168"/>
    </row>
    <row r="75" spans="1:34" ht="17.25" x14ac:dyDescent="0.25">
      <c r="S75" s="116">
        <v>3</v>
      </c>
      <c r="T75" s="117" t="s">
        <v>76</v>
      </c>
      <c r="U75" s="63" t="s">
        <v>77</v>
      </c>
      <c r="V75" s="59" t="s">
        <v>78</v>
      </c>
      <c r="W75" s="59" t="s">
        <v>79</v>
      </c>
      <c r="X75" s="59" t="s">
        <v>80</v>
      </c>
      <c r="Y75" s="64" t="s">
        <v>30</v>
      </c>
      <c r="Z75" s="64" t="s">
        <v>32</v>
      </c>
      <c r="AA75" s="64" t="s">
        <v>81</v>
      </c>
      <c r="AB75" s="64" t="s">
        <v>25</v>
      </c>
      <c r="AC75" s="64" t="s">
        <v>26</v>
      </c>
      <c r="AD75" s="64" t="s">
        <v>27</v>
      </c>
      <c r="AE75" s="64" t="s">
        <v>28</v>
      </c>
      <c r="AF75" s="64" t="s">
        <v>82</v>
      </c>
      <c r="AG75" s="64" t="s">
        <v>29</v>
      </c>
      <c r="AH75" s="65" t="s">
        <v>31</v>
      </c>
    </row>
    <row r="76" spans="1:34" x14ac:dyDescent="0.25">
      <c r="S76" s="116"/>
      <c r="T76" s="118">
        <f>K26</f>
        <v>0.88607750000000007</v>
      </c>
      <c r="U76" s="69">
        <f>S8*T76</f>
        <v>2.3749600044219684E-5</v>
      </c>
      <c r="V76" s="69">
        <f>+$T$76*T76</f>
        <v>0.78513333600625013</v>
      </c>
      <c r="W76" s="69">
        <f>$R$8*R8</f>
        <v>4.2845172623208805E-2</v>
      </c>
      <c r="X76" s="69">
        <f>SQRT(W76)</f>
        <v>0.20699075492207086</v>
      </c>
      <c r="Y76" s="70"/>
      <c r="Z76" s="70"/>
      <c r="AA76" s="70"/>
      <c r="AB76" s="70"/>
      <c r="AC76" s="70"/>
      <c r="AD76" s="70"/>
      <c r="AE76" s="70"/>
      <c r="AF76" s="70"/>
      <c r="AG76" s="70"/>
      <c r="AH76" s="71"/>
    </row>
    <row r="77" spans="1:34" x14ac:dyDescent="0.25">
      <c r="S77" s="116"/>
      <c r="T77" s="118">
        <f>M26</f>
        <v>6.9508333333333325E-2</v>
      </c>
      <c r="U77" s="69">
        <f t="shared" ref="U77:U85" si="30">S9*T77</f>
        <v>2.8177412264573702E-6</v>
      </c>
      <c r="V77" s="69">
        <f t="shared" ref="V77:V85" si="31">+$T$76*T77</f>
        <v>6.1589770229166667E-2</v>
      </c>
      <c r="W77" s="69">
        <f t="shared" ref="W77:W85" si="32">$R$8*R9</f>
        <v>0.12918986849197683</v>
      </c>
      <c r="X77" s="69">
        <f t="shared" ref="X77:X85" si="33">SQRT(W77)</f>
        <v>0.35942992153127268</v>
      </c>
      <c r="Y77" s="70">
        <f t="shared" ref="Y77:Y85" si="34">(($T$76*T77)*SQRT($R$8*R9))*(1-B60)</f>
        <v>2.2194763016928042E-2</v>
      </c>
      <c r="Z77" s="70"/>
      <c r="AA77" s="70"/>
      <c r="AB77" s="70"/>
      <c r="AC77" s="70"/>
      <c r="AD77" s="70"/>
      <c r="AE77" s="70"/>
      <c r="AF77" s="70"/>
      <c r="AG77" s="70"/>
      <c r="AH77" s="71"/>
    </row>
    <row r="78" spans="1:34" x14ac:dyDescent="0.25">
      <c r="S78" s="116"/>
      <c r="T78" s="118">
        <f>+E26</f>
        <v>4.1308333333333344E-3</v>
      </c>
      <c r="U78" s="69">
        <f t="shared" si="30"/>
        <v>2.3263312745531589E-7</v>
      </c>
      <c r="V78" s="69">
        <f t="shared" si="31"/>
        <v>3.6602384729166678E-3</v>
      </c>
      <c r="W78" s="69">
        <f t="shared" si="32"/>
        <v>0.24193902239770376</v>
      </c>
      <c r="X78" s="69">
        <f t="shared" si="33"/>
        <v>0.49187297384355622</v>
      </c>
      <c r="Y78" s="70">
        <f t="shared" si="34"/>
        <v>1.7751671692930167E-3</v>
      </c>
      <c r="Z78" s="70">
        <f t="shared" ref="Z78:Z85" si="35">(($T$77*T78)*SQRT($R$9*R10))*(1-B61)</f>
        <v>2.4180635096619893E-4</v>
      </c>
      <c r="AA78" s="70"/>
      <c r="AB78" s="70"/>
      <c r="AC78" s="70"/>
      <c r="AD78" s="70"/>
      <c r="AE78" s="70"/>
      <c r="AF78" s="70"/>
      <c r="AG78" s="70"/>
      <c r="AH78" s="71"/>
    </row>
    <row r="79" spans="1:34" x14ac:dyDescent="0.25">
      <c r="S79" s="116"/>
      <c r="T79" s="118">
        <f>+G26</f>
        <v>3.8666666666666683E-4</v>
      </c>
      <c r="U79" s="69">
        <f t="shared" si="30"/>
        <v>2.8011626361241456E-8</v>
      </c>
      <c r="V79" s="69">
        <f t="shared" si="31"/>
        <v>3.4261663333333349E-4</v>
      </c>
      <c r="W79" s="69">
        <f t="shared" si="32"/>
        <v>0.39059496580954223</v>
      </c>
      <c r="X79" s="69">
        <f t="shared" si="33"/>
        <v>0.62497597218576506</v>
      </c>
      <c r="Y79" s="70">
        <f t="shared" si="34"/>
        <v>2.0864550811879834E-4</v>
      </c>
      <c r="Z79" s="70">
        <f t="shared" si="35"/>
        <v>2.842087767079883E-5</v>
      </c>
      <c r="AA79" s="70">
        <f t="shared" ref="AA79:AA85" si="36">(($T$78*U79)*SQRT($R$10*S11))*(1-C62)</f>
        <v>1.0719001899812767E-12</v>
      </c>
      <c r="AB79" s="70"/>
      <c r="AC79" s="70"/>
      <c r="AD79" s="70"/>
      <c r="AE79" s="70"/>
      <c r="AF79" s="70"/>
      <c r="AG79" s="70"/>
      <c r="AH79" s="71"/>
    </row>
    <row r="80" spans="1:34" x14ac:dyDescent="0.25">
      <c r="S80" s="116"/>
      <c r="T80" s="118">
        <f>+F26</f>
        <v>3.1541666666666681E-4</v>
      </c>
      <c r="U80" s="69">
        <f t="shared" si="30"/>
        <v>2.285844760021049E-8</v>
      </c>
      <c r="V80" s="69">
        <f t="shared" si="31"/>
        <v>2.7948361145833348E-4</v>
      </c>
      <c r="W80" s="69">
        <f t="shared" si="32"/>
        <v>0.36453710099529019</v>
      </c>
      <c r="X80" s="69">
        <f t="shared" si="33"/>
        <v>0.60376907919774281</v>
      </c>
      <c r="Y80" s="70">
        <f t="shared" si="34"/>
        <v>1.6649927335660167E-4</v>
      </c>
      <c r="Z80" s="70">
        <f t="shared" si="35"/>
        <v>2.2679881886795937E-5</v>
      </c>
      <c r="AA80" s="70">
        <f t="shared" si="36"/>
        <v>8.6070350388922983E-13</v>
      </c>
      <c r="AB80" s="70">
        <f t="shared" ref="AB80:AB85" si="37">(($T$79*V80)*SQRT($R$11*T80))*(1-D63)</f>
        <v>2.6277721452456138E-9</v>
      </c>
      <c r="AC80" s="70"/>
      <c r="AD80" s="70"/>
      <c r="AE80" s="70"/>
      <c r="AF80" s="70"/>
      <c r="AG80" s="70"/>
      <c r="AH80" s="71"/>
    </row>
    <row r="81" spans="19:34" x14ac:dyDescent="0.25">
      <c r="S81" s="116"/>
      <c r="T81" s="118">
        <f>+I26</f>
        <v>4.1250000000000013E-5</v>
      </c>
      <c r="U81" s="69">
        <f t="shared" si="30"/>
        <v>3.7190401690978497E-9</v>
      </c>
      <c r="V81" s="69">
        <f t="shared" si="31"/>
        <v>3.6550696875000015E-5</v>
      </c>
      <c r="W81" s="69">
        <f t="shared" si="32"/>
        <v>0.57891172563229198</v>
      </c>
      <c r="X81" s="69">
        <f t="shared" si="33"/>
        <v>0.76086248799128742</v>
      </c>
      <c r="Y81" s="70">
        <f t="shared" si="34"/>
        <v>2.7965790465435801E-5</v>
      </c>
      <c r="Z81" s="70">
        <f t="shared" si="35"/>
        <v>3.8093909471216303E-6</v>
      </c>
      <c r="AA81" s="70">
        <f t="shared" si="36"/>
        <v>1.5770646120682468E-13</v>
      </c>
      <c r="AB81" s="70">
        <f t="shared" si="37"/>
        <v>1.2330610970350324E-10</v>
      </c>
      <c r="AC81" s="70">
        <f>(($T$80*W81)*SQRT($R$12*U81))*(1-E64)</f>
        <v>1.4777732878483698E-8</v>
      </c>
      <c r="AD81" s="70"/>
      <c r="AE81" s="70"/>
      <c r="AF81" s="70"/>
      <c r="AG81" s="70"/>
      <c r="AH81" s="71"/>
    </row>
    <row r="82" spans="19:34" x14ac:dyDescent="0.25">
      <c r="S82" s="116"/>
      <c r="T82" s="118">
        <f>+H26</f>
        <v>5.7916666666666681E-5</v>
      </c>
      <c r="U82" s="69">
        <f t="shared" si="30"/>
        <v>5.1031511302929981E-9</v>
      </c>
      <c r="V82" s="69">
        <f t="shared" si="31"/>
        <v>5.1318655208333348E-5</v>
      </c>
      <c r="W82" s="69">
        <f t="shared" si="32"/>
        <v>0.54235185847350886</v>
      </c>
      <c r="X82" s="69">
        <f t="shared" si="33"/>
        <v>0.73644542124553181</v>
      </c>
      <c r="Y82" s="70">
        <f t="shared" si="34"/>
        <v>3.6924140713644181E-5</v>
      </c>
      <c r="Z82" s="70">
        <f t="shared" si="35"/>
        <v>5.0296624920596339E-6</v>
      </c>
      <c r="AA82" s="70">
        <f t="shared" si="36"/>
        <v>2.122610205933596E-13</v>
      </c>
      <c r="AB82" s="70">
        <f t="shared" si="37"/>
        <v>2.0190559367728056E-10</v>
      </c>
      <c r="AC82" s="70">
        <f>(($T$80*W82)*SQRT($R$12*U82))*(1-E65)</f>
        <v>1.6217368275535451E-8</v>
      </c>
      <c r="AD82" s="70">
        <f>(($T$81*X82)*SQRT($R$13*V82))*(1-F65)</f>
        <v>3.6394256509423713E-7</v>
      </c>
      <c r="AE82" s="70"/>
      <c r="AF82" s="70"/>
      <c r="AG82" s="70"/>
      <c r="AH82" s="71"/>
    </row>
    <row r="83" spans="19:34" x14ac:dyDescent="0.25">
      <c r="S83" s="116"/>
      <c r="T83" s="118">
        <f>+D26</f>
        <v>1.2208333333333336E-4</v>
      </c>
      <c r="U83" s="69">
        <f t="shared" si="30"/>
        <v>1.3251616838089588E-8</v>
      </c>
      <c r="V83" s="69">
        <f t="shared" si="31"/>
        <v>1.081752947916667E-4</v>
      </c>
      <c r="W83" s="69">
        <f t="shared" si="32"/>
        <v>0.8050809492880614</v>
      </c>
      <c r="X83" s="69">
        <f t="shared" si="33"/>
        <v>0.89726303238685889</v>
      </c>
      <c r="Y83" s="70">
        <f t="shared" si="34"/>
        <v>9.2965689588073671E-5</v>
      </c>
      <c r="Z83" s="70">
        <f t="shared" si="35"/>
        <v>1.2663423790842905E-5</v>
      </c>
      <c r="AA83" s="70">
        <f t="shared" si="36"/>
        <v>6.2274700692387627E-13</v>
      </c>
      <c r="AB83" s="70">
        <f t="shared" si="37"/>
        <v>6.3441982408302667E-10</v>
      </c>
      <c r="AC83" s="70">
        <f>(($T$80*W83)*SQRT($R$12*U83))*(1-E66)</f>
        <v>3.8793058052582258E-8</v>
      </c>
      <c r="AD83" s="70">
        <f>(($T$81*X83)*SQRT($R$13*V83))*(1-F66)</f>
        <v>6.4738664354992849E-7</v>
      </c>
      <c r="AE83" s="70">
        <f>(($T$82*Y83)*SQRT($R$14*W83))*(1-G66)</f>
        <v>7.8200786459418248E-9</v>
      </c>
      <c r="AF83" s="70"/>
      <c r="AG83" s="70"/>
      <c r="AH83" s="71"/>
    </row>
    <row r="84" spans="19:34" x14ac:dyDescent="0.25">
      <c r="S84" s="116"/>
      <c r="T84" s="118">
        <f>+J26</f>
        <v>3.7412916666666664E-2</v>
      </c>
      <c r="U84" s="69">
        <f t="shared" si="30"/>
        <v>8.9829350884456448E-7</v>
      </c>
      <c r="V84" s="69">
        <f t="shared" si="31"/>
        <v>3.3150743667708336E-2</v>
      </c>
      <c r="W84" s="69">
        <f t="shared" si="32"/>
        <v>1.8651528335962096E-2</v>
      </c>
      <c r="X84" s="69">
        <f t="shared" si="33"/>
        <v>0.13657059835836591</v>
      </c>
      <c r="Y84" s="70">
        <f t="shared" si="34"/>
        <v>4.386614233173429E-3</v>
      </c>
      <c r="Z84" s="70">
        <f t="shared" si="35"/>
        <v>5.975274887730711E-4</v>
      </c>
      <c r="AA84" s="70">
        <f t="shared" si="36"/>
        <v>1.8645288320271362E-11</v>
      </c>
      <c r="AB84" s="70">
        <f t="shared" si="37"/>
        <v>3.1156939833048979E-6</v>
      </c>
      <c r="AC84" s="70">
        <f>(($T$80*W84)*SQRT($R$12*U84))*(1-E67)</f>
        <v>6.6351501652177512E-9</v>
      </c>
      <c r="AD84" s="70">
        <f>(($T$81*X84)*SQRT($R$13*V84))*(1-F67)</f>
        <v>1.5781429113773156E-6</v>
      </c>
      <c r="AE84" s="70">
        <f>(($T$82*Y84)*SQRT($R$14*W84))*(1-G67)</f>
        <v>5.0985359360312491E-8</v>
      </c>
      <c r="AF84" s="70">
        <f>(($T$83*Z84)*SQRT($R$15*X84))*(1-H67)</f>
        <v>4.7849751248386468E-8</v>
      </c>
      <c r="AG84" s="70"/>
      <c r="AH84" s="71"/>
    </row>
    <row r="85" spans="19:34" x14ac:dyDescent="0.25">
      <c r="S85" s="116"/>
      <c r="T85" s="118">
        <f>L26</f>
        <v>1.9479166666666666E-3</v>
      </c>
      <c r="U85" s="69">
        <f t="shared" si="30"/>
        <v>5.191911107355729E-8</v>
      </c>
      <c r="V85" s="69">
        <f t="shared" si="31"/>
        <v>1.7260051302083333E-3</v>
      </c>
      <c r="W85" s="69">
        <f t="shared" si="32"/>
        <v>8.5334097849090448E-2</v>
      </c>
      <c r="X85" s="69">
        <f t="shared" si="33"/>
        <v>0.29212000590355064</v>
      </c>
      <c r="Y85" s="70">
        <f t="shared" si="34"/>
        <v>4.5786459103690604E-4</v>
      </c>
      <c r="Z85" s="70">
        <f t="shared" si="35"/>
        <v>6.2368529516777129E-5</v>
      </c>
      <c r="AA85" s="70">
        <f t="shared" si="36"/>
        <v>1.0388204503224024E-12</v>
      </c>
      <c r="AB85" s="70">
        <f t="shared" si="37"/>
        <v>3.5441033375572748E-8</v>
      </c>
      <c r="AC85" s="70">
        <f>(($T$80*W85)*SQRT($R$12*U85))*(1-E68)</f>
        <v>7.1622409778067969E-9</v>
      </c>
      <c r="AD85" s="70">
        <f>(($T$81*X85)*SQRT($R$13*V85))*(1-F68)</f>
        <v>7.2561422844075649E-7</v>
      </c>
      <c r="AE85" s="70">
        <f>(($T$82*Y85)*SQRT($R$14*W85))*(1-G68)</f>
        <v>9.7930516249142899E-9</v>
      </c>
      <c r="AF85" s="70">
        <f>(($T$15*Z85)*SQRT($R$15*X85))*(1-H136)</f>
        <v>7.5620903367441528E-9</v>
      </c>
      <c r="AG85" s="70">
        <f>(($T$84*AA85)*SQRT($R$16*Y85))*(1-I68)</f>
        <v>2.2217865386395652E-16</v>
      </c>
      <c r="AH85" s="71"/>
    </row>
    <row r="86" spans="19:34" ht="15.75" thickBot="1" x14ac:dyDescent="0.3">
      <c r="S86" s="116"/>
      <c r="T86" s="120" t="s">
        <v>77</v>
      </c>
      <c r="U86" s="75">
        <f>SUM(U76:U85)</f>
        <v>2.7823130900149428E-5</v>
      </c>
      <c r="V86" s="73"/>
      <c r="W86" s="73"/>
      <c r="X86" s="73"/>
      <c r="Y86" s="76">
        <f>SUM(Y77:Y85)</f>
        <v>2.9347409412673948E-2</v>
      </c>
      <c r="Z86" s="76">
        <f t="shared" ref="Z86:AG86" si="38">SUM(Z77:Z85)</f>
        <v>9.7430560604366617E-4</v>
      </c>
      <c r="AA86" s="76">
        <f t="shared" si="38"/>
        <v>2.2609426953188333E-11</v>
      </c>
      <c r="AB86" s="76">
        <f t="shared" si="38"/>
        <v>3.1547224203531802E-6</v>
      </c>
      <c r="AC86" s="76">
        <f t="shared" si="38"/>
        <v>8.3585550349625952E-8</v>
      </c>
      <c r="AD86" s="76">
        <f t="shared" si="38"/>
        <v>3.3150863484622376E-6</v>
      </c>
      <c r="AE86" s="76">
        <f t="shared" si="38"/>
        <v>6.8598489631168603E-8</v>
      </c>
      <c r="AF86" s="76">
        <f t="shared" si="38"/>
        <v>5.5411841585130624E-8</v>
      </c>
      <c r="AG86" s="76">
        <f t="shared" si="38"/>
        <v>2.2217865386395652E-16</v>
      </c>
      <c r="AH86" s="77">
        <f>SUM(Y86:AG86)</f>
        <v>3.0328392445977646E-2</v>
      </c>
    </row>
    <row r="87" spans="19:34" ht="15.75" thickBot="1" x14ac:dyDescent="0.3">
      <c r="S87" s="116"/>
    </row>
    <row r="88" spans="19:34" x14ac:dyDescent="0.25">
      <c r="S88" s="116"/>
      <c r="T88" s="90" t="s">
        <v>99</v>
      </c>
      <c r="U88" s="91"/>
      <c r="V88" s="91"/>
      <c r="W88" s="91"/>
      <c r="X88" s="91"/>
      <c r="Y88" s="91"/>
      <c r="Z88" s="91"/>
      <c r="AA88" s="91"/>
      <c r="AB88" s="92"/>
    </row>
    <row r="89" spans="19:34" x14ac:dyDescent="0.25">
      <c r="S89" s="116"/>
      <c r="T89" s="95" t="s">
        <v>100</v>
      </c>
      <c r="U89" s="96">
        <f>+AH86</f>
        <v>3.0328392445977646E-2</v>
      </c>
      <c r="V89" s="96" t="s">
        <v>101</v>
      </c>
      <c r="W89" s="97"/>
      <c r="X89" s="98"/>
      <c r="Y89" s="98"/>
      <c r="Z89" s="98"/>
      <c r="AA89" s="98"/>
      <c r="AB89" s="99"/>
    </row>
    <row r="90" spans="19:34" x14ac:dyDescent="0.25">
      <c r="S90" s="116"/>
      <c r="T90" s="95" t="s">
        <v>103</v>
      </c>
      <c r="U90" s="96">
        <f>+U86</f>
        <v>2.7823130900149428E-5</v>
      </c>
      <c r="V90" s="96" t="s">
        <v>101</v>
      </c>
      <c r="W90" s="98"/>
      <c r="X90" s="98"/>
      <c r="Y90" s="98"/>
      <c r="Z90" s="105">
        <f>(U94*U94)+(2*U90*U94)-(U90*U90)</f>
        <v>3.195725049604131E-7</v>
      </c>
      <c r="AA90" s="98"/>
      <c r="AB90" s="99"/>
    </row>
    <row r="91" spans="19:34" x14ac:dyDescent="0.25">
      <c r="S91" s="116"/>
      <c r="T91" s="95" t="s">
        <v>104</v>
      </c>
      <c r="U91" s="96">
        <v>8.3145100000000003</v>
      </c>
      <c r="V91" s="96" t="s">
        <v>105</v>
      </c>
      <c r="W91" s="98"/>
      <c r="X91" s="98"/>
      <c r="Y91" s="98"/>
      <c r="Z91" s="105"/>
      <c r="AA91" s="98"/>
      <c r="AB91" s="99"/>
    </row>
    <row r="92" spans="19:34" x14ac:dyDescent="0.25">
      <c r="S92" s="116"/>
      <c r="T92" s="95" t="s">
        <v>106</v>
      </c>
      <c r="U92" s="109">
        <f>B26*98066.5</f>
        <v>4391417.87</v>
      </c>
      <c r="V92" s="110" t="s">
        <v>107</v>
      </c>
      <c r="W92" s="98"/>
      <c r="X92" s="98"/>
      <c r="Y92" s="98"/>
      <c r="Z92" s="105">
        <f>U89/Z90</f>
        <v>94903.009411696927</v>
      </c>
      <c r="AA92" s="98"/>
      <c r="AB92" s="99"/>
    </row>
    <row r="93" spans="19:34" x14ac:dyDescent="0.25">
      <c r="S93" s="116"/>
      <c r="T93" s="95" t="s">
        <v>108</v>
      </c>
      <c r="U93" s="109" t="s">
        <v>109</v>
      </c>
      <c r="V93" s="96" t="s">
        <v>110</v>
      </c>
      <c r="W93" s="98"/>
      <c r="X93" s="98"/>
      <c r="Y93" s="98"/>
      <c r="Z93" s="105"/>
      <c r="AA93" s="98"/>
      <c r="AB93" s="99"/>
    </row>
    <row r="94" spans="19:34" x14ac:dyDescent="0.25">
      <c r="S94" s="116"/>
      <c r="T94" s="95" t="s">
        <v>112</v>
      </c>
      <c r="U94" s="96">
        <f>+U102</f>
        <v>5.3885204782800592E-4</v>
      </c>
      <c r="V94" s="96" t="s">
        <v>113</v>
      </c>
      <c r="W94" s="98"/>
      <c r="X94" s="98"/>
      <c r="Y94" s="98"/>
      <c r="Z94" s="105">
        <f>U94-U90</f>
        <v>5.1102891692785652E-4</v>
      </c>
      <c r="AA94" s="98"/>
      <c r="AB94" s="99"/>
    </row>
    <row r="95" spans="19:34" x14ac:dyDescent="0.25">
      <c r="S95" s="116"/>
      <c r="T95" s="111"/>
      <c r="U95" s="98"/>
      <c r="V95" s="98"/>
      <c r="W95" s="98"/>
      <c r="X95" s="98"/>
      <c r="Y95" s="98"/>
      <c r="Z95" s="98"/>
      <c r="AA95" s="98"/>
      <c r="AB95" s="99"/>
    </row>
    <row r="96" spans="19:34" x14ac:dyDescent="0.25">
      <c r="S96" s="116"/>
      <c r="T96" s="111"/>
      <c r="U96" s="98"/>
      <c r="V96" s="98"/>
      <c r="W96" s="98"/>
      <c r="X96" s="98"/>
      <c r="Y96" s="98"/>
      <c r="Z96" s="98"/>
      <c r="AA96" s="98"/>
      <c r="AB96" s="99"/>
    </row>
    <row r="97" spans="19:34" x14ac:dyDescent="0.25">
      <c r="S97" s="116"/>
      <c r="T97" s="111"/>
      <c r="U97" s="98"/>
      <c r="V97" s="98"/>
      <c r="W97" s="98"/>
      <c r="X97" s="98"/>
      <c r="Y97" s="98"/>
      <c r="Z97" s="98"/>
      <c r="AA97" s="98"/>
      <c r="AB97" s="99"/>
    </row>
    <row r="98" spans="19:34" x14ac:dyDescent="0.25">
      <c r="S98" s="116"/>
      <c r="T98" s="111" t="s">
        <v>116</v>
      </c>
      <c r="U98" s="98">
        <v>0.98</v>
      </c>
      <c r="V98" s="98"/>
      <c r="W98" s="98"/>
      <c r="X98" s="98"/>
      <c r="Y98" s="98"/>
      <c r="Z98" s="98"/>
      <c r="AA98" s="98"/>
      <c r="AB98" s="99"/>
    </row>
    <row r="99" spans="19:34" x14ac:dyDescent="0.25">
      <c r="S99" s="116"/>
      <c r="T99" s="111" t="s">
        <v>106</v>
      </c>
      <c r="U99" s="113">
        <f>U92</f>
        <v>4391417.87</v>
      </c>
      <c r="V99" s="98" t="s">
        <v>117</v>
      </c>
      <c r="W99" s="98"/>
      <c r="X99" s="98"/>
      <c r="Y99" s="98"/>
      <c r="Z99" s="98"/>
      <c r="AA99" s="98"/>
      <c r="AB99" s="99"/>
    </row>
    <row r="100" spans="19:34" x14ac:dyDescent="0.25">
      <c r="S100" s="116"/>
      <c r="T100" s="111" t="s">
        <v>118</v>
      </c>
      <c r="U100" s="113">
        <f>C26+273.15</f>
        <v>290.40999999999997</v>
      </c>
      <c r="V100" s="98" t="s">
        <v>49</v>
      </c>
      <c r="W100" s="98"/>
      <c r="X100" s="98"/>
      <c r="Y100" s="98"/>
      <c r="Z100" s="98"/>
      <c r="AA100" s="98"/>
      <c r="AB100" s="99"/>
    </row>
    <row r="101" spans="19:34" x14ac:dyDescent="0.25">
      <c r="S101" s="116"/>
      <c r="T101" s="111"/>
      <c r="U101" s="98"/>
      <c r="V101" s="98"/>
      <c r="W101" s="98"/>
      <c r="X101" s="98"/>
      <c r="Y101" s="98"/>
      <c r="Z101" s="98"/>
      <c r="AA101" s="98"/>
      <c r="AB101" s="99"/>
    </row>
    <row r="102" spans="19:34" ht="15.75" thickBot="1" x14ac:dyDescent="0.3">
      <c r="S102" s="116"/>
      <c r="T102" s="72" t="s">
        <v>121</v>
      </c>
      <c r="U102" s="73">
        <f>(0.98*U91*U100)/U99</f>
        <v>5.3885204782800592E-4</v>
      </c>
      <c r="V102" s="73" t="s">
        <v>113</v>
      </c>
      <c r="W102" s="73"/>
      <c r="X102" s="73"/>
      <c r="Y102" s="73"/>
      <c r="Z102" s="73"/>
      <c r="AA102" s="73"/>
      <c r="AB102" s="115"/>
    </row>
    <row r="103" spans="19:34" x14ac:dyDescent="0.25">
      <c r="S103" s="116"/>
      <c r="T103" s="116"/>
      <c r="U103" s="129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</row>
    <row r="104" spans="19:34" ht="15.75" thickBot="1" x14ac:dyDescent="0.3"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</row>
    <row r="105" spans="19:34" ht="15.75" thickBot="1" x14ac:dyDescent="0.3">
      <c r="S105" s="116"/>
      <c r="V105" s="162" t="s">
        <v>60</v>
      </c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4"/>
    </row>
    <row r="106" spans="19:34" x14ac:dyDescent="0.25">
      <c r="S106" s="116"/>
      <c r="Y106" s="175" t="s">
        <v>63</v>
      </c>
      <c r="Z106" s="175"/>
      <c r="AA106" s="175"/>
      <c r="AB106" s="175"/>
      <c r="AC106" s="175"/>
      <c r="AD106" s="175"/>
      <c r="AE106" s="175"/>
      <c r="AF106" s="175"/>
      <c r="AG106" s="175"/>
      <c r="AH106" s="175"/>
    </row>
    <row r="107" spans="19:34" ht="17.25" x14ac:dyDescent="0.25">
      <c r="S107" s="116">
        <v>4</v>
      </c>
      <c r="T107" s="70" t="s">
        <v>76</v>
      </c>
      <c r="U107" s="130" t="s">
        <v>77</v>
      </c>
      <c r="V107" s="70" t="s">
        <v>78</v>
      </c>
      <c r="W107" s="70" t="s">
        <v>79</v>
      </c>
      <c r="X107" s="70" t="s">
        <v>80</v>
      </c>
      <c r="Y107" s="131" t="s">
        <v>30</v>
      </c>
      <c r="Z107" s="131" t="s">
        <v>32</v>
      </c>
      <c r="AA107" s="131" t="s">
        <v>81</v>
      </c>
      <c r="AB107" s="131" t="s">
        <v>25</v>
      </c>
      <c r="AC107" s="131" t="s">
        <v>26</v>
      </c>
      <c r="AD107" s="131" t="s">
        <v>27</v>
      </c>
      <c r="AE107" s="131" t="s">
        <v>28</v>
      </c>
      <c r="AF107" s="131" t="s">
        <v>82</v>
      </c>
      <c r="AG107" s="131" t="s">
        <v>29</v>
      </c>
      <c r="AH107" s="132" t="s">
        <v>31</v>
      </c>
    </row>
    <row r="108" spans="19:34" x14ac:dyDescent="0.25">
      <c r="S108" s="116"/>
      <c r="T108" s="70">
        <f>K27</f>
        <v>0.89025083333333344</v>
      </c>
      <c r="U108" s="69">
        <f>S8*T108</f>
        <v>2.386145820280951E-5</v>
      </c>
      <c r="V108" s="69">
        <f>$T$108*T108</f>
        <v>0.79254654625069465</v>
      </c>
      <c r="W108" s="69">
        <f>$R$8*R8</f>
        <v>4.2845172623208805E-2</v>
      </c>
      <c r="X108" s="69">
        <f>SQRT(W108)</f>
        <v>0.20699075492207086</v>
      </c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9:34" x14ac:dyDescent="0.25">
      <c r="S109" s="116"/>
      <c r="T109" s="70">
        <f>M27</f>
        <v>6.7927083333333332E-2</v>
      </c>
      <c r="U109" s="69">
        <f t="shared" ref="U109:U117" si="39">S9*T109</f>
        <v>2.7536402316461626E-6</v>
      </c>
      <c r="V109" s="69">
        <f t="shared" ref="V109:V117" si="40">$T$108*T109</f>
        <v>6.0472142543402781E-2</v>
      </c>
      <c r="W109" s="69">
        <f t="shared" ref="W109:W117" si="41">$R$8*R9</f>
        <v>0.12918986849197683</v>
      </c>
      <c r="X109" s="69">
        <f t="shared" ref="X109:X117" si="42">SQRT(W109)</f>
        <v>0.35942992153127268</v>
      </c>
      <c r="Y109" s="70">
        <f t="shared" ref="Y109:Y117" si="43">(($T$108*T109)*SQRT($R$8*R9))*(1-B60)</f>
        <v>2.1792009742571124E-2</v>
      </c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9:34" x14ac:dyDescent="0.25">
      <c r="S110" s="116"/>
      <c r="T110" s="70">
        <f>+E27</f>
        <v>3.7925000000000003E-3</v>
      </c>
      <c r="U110" s="69">
        <f t="shared" si="39"/>
        <v>2.1357945593083367E-7</v>
      </c>
      <c r="V110" s="69">
        <f t="shared" si="40"/>
        <v>3.3762762854166674E-3</v>
      </c>
      <c r="W110" s="69">
        <f t="shared" si="41"/>
        <v>0.24193902239770376</v>
      </c>
      <c r="X110" s="69">
        <f t="shared" si="42"/>
        <v>0.49187297384355622</v>
      </c>
      <c r="Y110" s="70">
        <f t="shared" si="43"/>
        <v>1.6374492702270166E-3</v>
      </c>
      <c r="Z110" s="70">
        <f t="shared" ref="Z110:Z117" si="44">(($T$109*T110)*SQRT($R$9*R10))*(1-B61)</f>
        <v>2.1695102778617378E-4</v>
      </c>
      <c r="AA110" s="70"/>
      <c r="AB110" s="70"/>
      <c r="AC110" s="70"/>
      <c r="AD110" s="70"/>
      <c r="AE110" s="70"/>
      <c r="AF110" s="70"/>
      <c r="AG110" s="70"/>
      <c r="AH110" s="70"/>
    </row>
    <row r="111" spans="19:34" x14ac:dyDescent="0.25">
      <c r="S111" s="116"/>
      <c r="T111" s="70">
        <f>+G27</f>
        <v>3.4500000000000025E-4</v>
      </c>
      <c r="U111" s="69">
        <f t="shared" si="39"/>
        <v>2.4993132141280103E-8</v>
      </c>
      <c r="V111" s="69">
        <f t="shared" si="40"/>
        <v>3.0713653750000025E-4</v>
      </c>
      <c r="W111" s="69">
        <f t="shared" si="41"/>
        <v>0.39059496580954223</v>
      </c>
      <c r="X111" s="69">
        <f t="shared" si="42"/>
        <v>0.62497597218576506</v>
      </c>
      <c r="Y111" s="70">
        <f t="shared" si="43"/>
        <v>1.8703896044121584E-4</v>
      </c>
      <c r="Z111" s="70">
        <f t="shared" si="44"/>
        <v>2.4781405715337664E-5</v>
      </c>
      <c r="AA111" s="70">
        <f t="shared" ref="AA111:AA117" si="45">(($T$110*U111)*SQRT($R$10*S11))*(1-C62)</f>
        <v>8.7806087288021114E-13</v>
      </c>
      <c r="AB111" s="70"/>
      <c r="AC111" s="70"/>
      <c r="AD111" s="70"/>
      <c r="AE111" s="70"/>
      <c r="AF111" s="70"/>
      <c r="AG111" s="70"/>
      <c r="AH111" s="70"/>
    </row>
    <row r="112" spans="19:34" x14ac:dyDescent="0.25">
      <c r="S112" s="116"/>
      <c r="T112" s="70">
        <f>+F27</f>
        <v>2.6583333333333342E-4</v>
      </c>
      <c r="U112" s="69">
        <f t="shared" si="39"/>
        <v>1.9265111715897344E-8</v>
      </c>
      <c r="V112" s="69">
        <f t="shared" si="40"/>
        <v>2.3665834652777788E-4</v>
      </c>
      <c r="W112" s="69">
        <f t="shared" si="41"/>
        <v>0.36453710099529019</v>
      </c>
      <c r="X112" s="69">
        <f t="shared" si="42"/>
        <v>0.60376907919774281</v>
      </c>
      <c r="Y112" s="70">
        <f t="shared" si="43"/>
        <v>1.4098659497436856E-4</v>
      </c>
      <c r="Z112" s="70">
        <f t="shared" si="44"/>
        <v>1.8679776674560208E-5</v>
      </c>
      <c r="AA112" s="70">
        <f t="shared" si="45"/>
        <v>6.6598782029429998E-13</v>
      </c>
      <c r="AB112" s="70">
        <f t="shared" ref="AB112:AB117" si="46">(($T$111*V112)*SQRT($R$11*T112))*(1-D63)</f>
        <v>1.8226276074637876E-9</v>
      </c>
      <c r="AC112" s="70"/>
      <c r="AD112" s="70"/>
      <c r="AE112" s="70"/>
      <c r="AF112" s="70"/>
      <c r="AG112" s="70"/>
      <c r="AH112" s="70"/>
    </row>
    <row r="113" spans="19:34" x14ac:dyDescent="0.25">
      <c r="S113" s="116"/>
      <c r="T113" s="70">
        <f>+I27</f>
        <v>3.750000000000001E-5</v>
      </c>
      <c r="U113" s="69">
        <f t="shared" si="39"/>
        <v>3.380945608270772E-9</v>
      </c>
      <c r="V113" s="69">
        <f t="shared" si="40"/>
        <v>3.3384406250000014E-5</v>
      </c>
      <c r="W113" s="69">
        <f t="shared" si="41"/>
        <v>0.57891172563229198</v>
      </c>
      <c r="X113" s="69">
        <f t="shared" si="42"/>
        <v>0.76086248799128742</v>
      </c>
      <c r="Y113" s="70">
        <f t="shared" si="43"/>
        <v>2.5543187676924023E-5</v>
      </c>
      <c r="Z113" s="70">
        <f t="shared" si="44"/>
        <v>3.3843007659562503E-6</v>
      </c>
      <c r="AA113" s="70">
        <f t="shared" si="45"/>
        <v>1.3162691968240668E-13</v>
      </c>
      <c r="AB113" s="70">
        <f t="shared" si="46"/>
        <v>9.581171389933319E-11</v>
      </c>
      <c r="AC113" s="70">
        <f>(($T$112*W113)*SQRT($R$12*U113))*(1-E64)</f>
        <v>1.1875072469395277E-8</v>
      </c>
      <c r="AD113" s="70"/>
      <c r="AE113" s="70"/>
      <c r="AF113" s="70"/>
      <c r="AG113" s="70"/>
      <c r="AH113" s="70"/>
    </row>
    <row r="114" spans="19:34" x14ac:dyDescent="0.25">
      <c r="S114" s="116"/>
      <c r="T114" s="70">
        <f>+H27</f>
        <v>5.208333333333335E-5</v>
      </c>
      <c r="U114" s="69">
        <f t="shared" si="39"/>
        <v>4.5891646855152859E-9</v>
      </c>
      <c r="V114" s="69">
        <f t="shared" si="40"/>
        <v>4.6367230902777799E-5</v>
      </c>
      <c r="W114" s="69">
        <f t="shared" si="41"/>
        <v>0.54235185847350886</v>
      </c>
      <c r="X114" s="69">
        <f t="shared" si="42"/>
        <v>0.73644542124553181</v>
      </c>
      <c r="Y114" s="70">
        <f t="shared" si="43"/>
        <v>3.3361555391618784E-5</v>
      </c>
      <c r="Z114" s="70">
        <f t="shared" si="44"/>
        <v>4.4201819637158025E-6</v>
      </c>
      <c r="AA114" s="70">
        <f t="shared" si="45"/>
        <v>1.752481239233631E-13</v>
      </c>
      <c r="AB114" s="70">
        <f t="shared" si="46"/>
        <v>1.5435269292033877E-10</v>
      </c>
      <c r="AC114" s="70">
        <f>(($T$112*W114)*SQRT($R$12*U114))*(1-E65)</f>
        <v>1.2961425999536385E-8</v>
      </c>
      <c r="AD114" s="70">
        <f>(($T$113*X114)*SQRT($R$13*V114))*(1-F65)</f>
        <v>3.1449092144563167E-7</v>
      </c>
      <c r="AE114" s="70"/>
      <c r="AF114" s="70"/>
      <c r="AG114" s="70"/>
      <c r="AH114" s="70"/>
    </row>
    <row r="115" spans="19:34" x14ac:dyDescent="0.25">
      <c r="S115" s="116"/>
      <c r="T115" s="70">
        <f>+D27</f>
        <v>1.1916666666666673E-4</v>
      </c>
      <c r="U115" s="69">
        <f t="shared" si="39"/>
        <v>1.2935025309534551E-8</v>
      </c>
      <c r="V115" s="69">
        <f t="shared" si="40"/>
        <v>1.0608822430555562E-4</v>
      </c>
      <c r="W115" s="69">
        <f t="shared" si="41"/>
        <v>0.8050809492880614</v>
      </c>
      <c r="X115" s="69">
        <f t="shared" si="42"/>
        <v>0.89726303238685889</v>
      </c>
      <c r="Y115" s="70">
        <f t="shared" si="43"/>
        <v>9.1172064275252439E-5</v>
      </c>
      <c r="Z115" s="70">
        <f t="shared" si="44"/>
        <v>1.2079686015042664E-5</v>
      </c>
      <c r="AA115" s="70">
        <f t="shared" si="45"/>
        <v>5.5808195240434322E-13</v>
      </c>
      <c r="AB115" s="70">
        <f t="shared" si="46"/>
        <v>5.484630886379338E-10</v>
      </c>
      <c r="AC115" s="70">
        <f>(($T$112*W115)*SQRT($R$12*U115))*(1-E66)</f>
        <v>3.230189655119116E-8</v>
      </c>
      <c r="AD115" s="70">
        <f>(($T$113*X115)*SQRT($R$13*V115))*(1-F66)</f>
        <v>5.8282825306732816E-7</v>
      </c>
      <c r="AE115" s="70">
        <f>(($T$114*Y115)*SQRT($R$14*W115))*(1-G66)</f>
        <v>6.896764972996483E-9</v>
      </c>
      <c r="AF115" s="70"/>
      <c r="AG115" s="70"/>
      <c r="AH115" s="70"/>
    </row>
    <row r="116" spans="19:34" x14ac:dyDescent="0.25">
      <c r="S116" s="116"/>
      <c r="T116" s="70">
        <f>+J27</f>
        <v>3.5107916666666676E-2</v>
      </c>
      <c r="U116" s="69">
        <f t="shared" si="39"/>
        <v>8.429498809650654E-7</v>
      </c>
      <c r="V116" s="69">
        <f t="shared" si="40"/>
        <v>3.1254852069097235E-2</v>
      </c>
      <c r="W116" s="69">
        <f t="shared" si="41"/>
        <v>1.8651528335962096E-2</v>
      </c>
      <c r="X116" s="69">
        <f t="shared" si="42"/>
        <v>0.13657059835836591</v>
      </c>
      <c r="Y116" s="70">
        <f t="shared" si="43"/>
        <v>4.1357436899849085E-3</v>
      </c>
      <c r="Z116" s="70">
        <f t="shared" si="44"/>
        <v>5.4795825465665446E-4</v>
      </c>
      <c r="AA116" s="70">
        <f t="shared" si="45"/>
        <v>1.6063512377616815E-11</v>
      </c>
      <c r="AB116" s="70">
        <f t="shared" si="46"/>
        <v>2.5389437233541676E-6</v>
      </c>
      <c r="AC116" s="70">
        <f>(($T$112*W116)*SQRT($R$12*U116))*(1-E67)</f>
        <v>5.4171055972533662E-9</v>
      </c>
      <c r="AD116" s="70">
        <f>(($T$113*X116)*SQRT($R$13*V116))*(1-F67)</f>
        <v>1.3930468736668652E-6</v>
      </c>
      <c r="AE116" s="70">
        <f>(($T$114*Y116)*SQRT($R$14*W116))*(1-G67)</f>
        <v>4.3227972827813445E-8</v>
      </c>
      <c r="AF116" s="70">
        <f>(($T$115*Z116)*SQRT($R$15*X116))*(1-H67)</f>
        <v>4.2831933682827257E-8</v>
      </c>
      <c r="AG116" s="70"/>
      <c r="AH116" s="70"/>
    </row>
    <row r="117" spans="19:34" x14ac:dyDescent="0.25">
      <c r="S117" s="116"/>
      <c r="T117" s="70">
        <f>L27</f>
        <v>2.1058333333333337E-3</v>
      </c>
      <c r="U117" s="69">
        <f t="shared" si="39"/>
        <v>5.6128168420483122E-8</v>
      </c>
      <c r="V117" s="69">
        <f t="shared" si="40"/>
        <v>1.8747198798611117E-3</v>
      </c>
      <c r="W117" s="69">
        <f t="shared" si="41"/>
        <v>8.5334097849090448E-2</v>
      </c>
      <c r="X117" s="69">
        <f t="shared" si="42"/>
        <v>0.29212000590355064</v>
      </c>
      <c r="Y117" s="70">
        <f t="shared" si="43"/>
        <v>4.9731477391249605E-4</v>
      </c>
      <c r="Z117" s="70">
        <f t="shared" si="44"/>
        <v>6.589086654184183E-5</v>
      </c>
      <c r="AA117" s="70">
        <f t="shared" si="45"/>
        <v>1.0310554675248765E-12</v>
      </c>
      <c r="AB117" s="70">
        <f t="shared" si="46"/>
        <v>3.5711644581807405E-8</v>
      </c>
      <c r="AC117" s="70">
        <f>(($T$112*W117)*SQRT($R$12*U117))*(1-E68)</f>
        <v>6.2762544083340096E-9</v>
      </c>
      <c r="AD117" s="70">
        <f>(($T$113*X117)*SQRT($R$13*V117))*(1-F68)</f>
        <v>6.8748029750450932E-7</v>
      </c>
      <c r="AE117" s="70">
        <f>(($T$114*Y117)*SQRT($R$14*W117))*(1-G68)</f>
        <v>9.565497426454364E-9</v>
      </c>
      <c r="AF117" s="70">
        <f>(($T$115*Z117)*SQRT($R$15*X117))*(1-H68)</f>
        <v>7.3468392604314783E-9</v>
      </c>
      <c r="AG117" s="70">
        <f>(($T$116*AA117)*SQRT($R$16*Y117))*(1-I68)</f>
        <v>2.15662439552633E-16</v>
      </c>
      <c r="AH117" s="70"/>
    </row>
    <row r="118" spans="19:34" x14ac:dyDescent="0.25">
      <c r="S118" s="116"/>
      <c r="T118" s="130" t="s">
        <v>77</v>
      </c>
      <c r="U118" s="133">
        <f>SUM(U108:U117)</f>
        <v>2.779291931923255E-5</v>
      </c>
      <c r="V118" s="108"/>
      <c r="W118" s="108"/>
      <c r="X118" s="108"/>
      <c r="Y118" s="70">
        <f>SUM(Y109:Y117)</f>
        <v>2.8540619839454925E-2</v>
      </c>
      <c r="Z118" s="70">
        <f t="shared" ref="Z118:AG118" si="47">SUM(Z109:Z117)</f>
        <v>8.9414550011928263E-4</v>
      </c>
      <c r="AA118" s="70">
        <f t="shared" si="47"/>
        <v>1.9503573534326317E-11</v>
      </c>
      <c r="AB118" s="70">
        <f t="shared" si="47"/>
        <v>2.5772766230388965E-6</v>
      </c>
      <c r="AC118" s="70">
        <f t="shared" si="47"/>
        <v>6.8831755025710205E-8</v>
      </c>
      <c r="AD118" s="70">
        <f t="shared" si="47"/>
        <v>2.9778463456843344E-6</v>
      </c>
      <c r="AE118" s="70">
        <f t="shared" si="47"/>
        <v>5.9690235227264293E-8</v>
      </c>
      <c r="AF118" s="70">
        <f t="shared" si="47"/>
        <v>5.0178772943258738E-8</v>
      </c>
      <c r="AG118" s="70">
        <f t="shared" si="47"/>
        <v>2.15662439552633E-16</v>
      </c>
      <c r="AH118" s="130">
        <f>SUM(Y118:AG118)</f>
        <v>2.9440499182809915E-2</v>
      </c>
    </row>
    <row r="119" spans="19:34" ht="15.75" thickBot="1" x14ac:dyDescent="0.3">
      <c r="S119" s="116"/>
    </row>
    <row r="120" spans="19:34" x14ac:dyDescent="0.25">
      <c r="S120" s="116"/>
      <c r="T120" s="134" t="s">
        <v>99</v>
      </c>
      <c r="U120" s="135"/>
      <c r="V120" s="135"/>
      <c r="W120" s="135"/>
      <c r="X120" s="135"/>
      <c r="Y120" s="135"/>
      <c r="Z120" s="135"/>
      <c r="AA120" s="135"/>
      <c r="AB120" s="136"/>
    </row>
    <row r="121" spans="19:34" x14ac:dyDescent="0.25">
      <c r="S121" s="116"/>
      <c r="T121" s="95" t="s">
        <v>100</v>
      </c>
      <c r="U121" s="96">
        <f>+AH118</f>
        <v>2.9440499182809915E-2</v>
      </c>
      <c r="V121" s="96" t="s">
        <v>101</v>
      </c>
      <c r="W121" s="97"/>
      <c r="X121" s="98"/>
      <c r="Y121" s="98"/>
      <c r="Z121" s="98"/>
      <c r="AA121" s="98"/>
      <c r="AB121" s="99"/>
    </row>
    <row r="122" spans="19:34" x14ac:dyDescent="0.25">
      <c r="S122" s="116"/>
      <c r="T122" s="95" t="s">
        <v>103</v>
      </c>
      <c r="U122" s="96">
        <f>+U118</f>
        <v>2.779291931923255E-5</v>
      </c>
      <c r="V122" s="96" t="s">
        <v>101</v>
      </c>
      <c r="W122" s="98"/>
      <c r="X122" s="98"/>
      <c r="Y122" s="98"/>
      <c r="Z122" s="105">
        <f>(U126*U126)+(2*U122*U126)-(U122*U122)</f>
        <v>2.8820352413373525E-7</v>
      </c>
      <c r="AA122" s="98"/>
      <c r="AB122" s="99"/>
    </row>
    <row r="123" spans="19:34" x14ac:dyDescent="0.25">
      <c r="S123" s="116"/>
      <c r="T123" s="95" t="s">
        <v>104</v>
      </c>
      <c r="U123" s="96">
        <v>8.3145100000000003</v>
      </c>
      <c r="V123" s="96" t="s">
        <v>105</v>
      </c>
      <c r="W123" s="98"/>
      <c r="X123" s="98"/>
      <c r="Y123" s="98"/>
      <c r="Z123" s="105"/>
      <c r="AA123" s="98"/>
      <c r="AB123" s="99"/>
    </row>
    <row r="124" spans="19:34" x14ac:dyDescent="0.25">
      <c r="S124" s="116"/>
      <c r="T124" s="95" t="s">
        <v>106</v>
      </c>
      <c r="U124" s="109">
        <f>B27*98066.5</f>
        <v>4640506.78</v>
      </c>
      <c r="V124" s="110" t="s">
        <v>107</v>
      </c>
      <c r="W124" s="98"/>
      <c r="X124" s="98"/>
      <c r="Y124" s="98"/>
      <c r="Z124" s="105">
        <f>U121/Z122</f>
        <v>102151.76678113284</v>
      </c>
      <c r="AA124" s="98"/>
      <c r="AB124" s="99"/>
    </row>
    <row r="125" spans="19:34" x14ac:dyDescent="0.25">
      <c r="S125" s="116"/>
      <c r="T125" s="95" t="s">
        <v>108</v>
      </c>
      <c r="U125" s="109" t="s">
        <v>109</v>
      </c>
      <c r="V125" s="96" t="s">
        <v>110</v>
      </c>
      <c r="W125" s="98"/>
      <c r="X125" s="98"/>
      <c r="Y125" s="98"/>
      <c r="Z125" s="105"/>
      <c r="AA125" s="98"/>
      <c r="AB125" s="99"/>
    </row>
    <row r="126" spans="19:34" x14ac:dyDescent="0.25">
      <c r="S126" s="116"/>
      <c r="T126" s="95" t="s">
        <v>112</v>
      </c>
      <c r="U126" s="96">
        <f>+U134</f>
        <v>5.1048992163179197E-4</v>
      </c>
      <c r="V126" s="96" t="s">
        <v>113</v>
      </c>
      <c r="W126" s="98"/>
      <c r="X126" s="98"/>
      <c r="Y126" s="98"/>
      <c r="Z126" s="105">
        <f>U126-U122</f>
        <v>4.8269700231255941E-4</v>
      </c>
      <c r="AA126" s="98"/>
      <c r="AB126" s="99"/>
    </row>
    <row r="127" spans="19:34" x14ac:dyDescent="0.25">
      <c r="S127" s="116"/>
      <c r="T127" s="111"/>
      <c r="U127" s="98"/>
      <c r="V127" s="98"/>
      <c r="W127" s="98"/>
      <c r="X127" s="98"/>
      <c r="Y127" s="98"/>
      <c r="Z127" s="98"/>
      <c r="AA127" s="98"/>
      <c r="AB127" s="99"/>
    </row>
    <row r="128" spans="19:34" x14ac:dyDescent="0.25">
      <c r="S128" s="116"/>
      <c r="T128" s="111"/>
      <c r="U128" s="98"/>
      <c r="V128" s="98"/>
      <c r="W128" s="98"/>
      <c r="X128" s="98"/>
      <c r="Y128" s="98"/>
      <c r="Z128" s="98"/>
      <c r="AA128" s="98"/>
      <c r="AB128" s="99"/>
    </row>
    <row r="129" spans="19:34" x14ac:dyDescent="0.25">
      <c r="S129" s="116"/>
      <c r="T129" s="111"/>
      <c r="U129" s="98"/>
      <c r="V129" s="98"/>
      <c r="W129" s="98"/>
      <c r="X129" s="98"/>
      <c r="Y129" s="98"/>
      <c r="Z129" s="98"/>
      <c r="AA129" s="98"/>
      <c r="AB129" s="99"/>
    </row>
    <row r="130" spans="19:34" x14ac:dyDescent="0.25">
      <c r="S130" s="116"/>
      <c r="T130" s="111" t="s">
        <v>116</v>
      </c>
      <c r="U130" s="98">
        <v>0.98</v>
      </c>
      <c r="V130" s="98"/>
      <c r="W130" s="98"/>
      <c r="X130" s="98"/>
      <c r="Y130" s="98"/>
      <c r="Z130" s="98"/>
      <c r="AA130" s="98"/>
      <c r="AB130" s="99"/>
    </row>
    <row r="131" spans="19:34" x14ac:dyDescent="0.25">
      <c r="S131" s="116"/>
      <c r="T131" s="111" t="s">
        <v>106</v>
      </c>
      <c r="U131" s="113">
        <f>U124</f>
        <v>4640506.78</v>
      </c>
      <c r="V131" s="98" t="s">
        <v>117</v>
      </c>
      <c r="W131" s="98"/>
      <c r="X131" s="98"/>
      <c r="Y131" s="98"/>
      <c r="Z131" s="98"/>
      <c r="AA131" s="98"/>
      <c r="AB131" s="99"/>
    </row>
    <row r="132" spans="19:34" x14ac:dyDescent="0.25">
      <c r="S132" s="116"/>
      <c r="T132" s="111" t="s">
        <v>118</v>
      </c>
      <c r="U132" s="113">
        <f>C27+273.15</f>
        <v>290.72999999999996</v>
      </c>
      <c r="V132" s="98" t="s">
        <v>49</v>
      </c>
      <c r="W132" s="98"/>
      <c r="X132" s="98"/>
      <c r="Y132" s="98"/>
      <c r="Z132" s="98"/>
      <c r="AA132" s="98"/>
      <c r="AB132" s="99"/>
    </row>
    <row r="133" spans="19:34" x14ac:dyDescent="0.25">
      <c r="S133" s="116"/>
      <c r="T133" s="111"/>
      <c r="U133" s="98"/>
      <c r="V133" s="98"/>
      <c r="W133" s="98"/>
      <c r="X133" s="98"/>
      <c r="Y133" s="98"/>
      <c r="Z133" s="98"/>
      <c r="AA133" s="98"/>
      <c r="AB133" s="99"/>
    </row>
    <row r="134" spans="19:34" ht="15.75" thickBot="1" x14ac:dyDescent="0.3">
      <c r="S134" s="116"/>
      <c r="T134" s="72" t="s">
        <v>121</v>
      </c>
      <c r="U134" s="73">
        <f>(0.98*U123*U132)/U131</f>
        <v>5.1048992163179197E-4</v>
      </c>
      <c r="V134" s="73" t="s">
        <v>113</v>
      </c>
      <c r="W134" s="73"/>
      <c r="X134" s="73"/>
      <c r="Y134" s="73"/>
      <c r="Z134" s="73"/>
      <c r="AA134" s="73"/>
      <c r="AB134" s="115"/>
    </row>
    <row r="135" spans="19:34" x14ac:dyDescent="0.25"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</row>
    <row r="136" spans="19:34" ht="15.75" thickBot="1" x14ac:dyDescent="0.3"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</row>
    <row r="137" spans="19:34" ht="15.75" thickBot="1" x14ac:dyDescent="0.3">
      <c r="S137" s="116"/>
      <c r="V137" s="162" t="s">
        <v>60</v>
      </c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4"/>
    </row>
    <row r="138" spans="19:34" x14ac:dyDescent="0.25">
      <c r="S138" s="116"/>
      <c r="Y138" s="175" t="s">
        <v>63</v>
      </c>
      <c r="Z138" s="175"/>
      <c r="AA138" s="175"/>
      <c r="AB138" s="175"/>
      <c r="AC138" s="175"/>
      <c r="AD138" s="175"/>
      <c r="AE138" s="175"/>
      <c r="AF138" s="175"/>
      <c r="AG138" s="175"/>
      <c r="AH138" s="175"/>
    </row>
    <row r="139" spans="19:34" ht="17.25" x14ac:dyDescent="0.25">
      <c r="S139" s="116">
        <v>5</v>
      </c>
      <c r="T139" s="70" t="s">
        <v>76</v>
      </c>
      <c r="U139" s="130" t="s">
        <v>77</v>
      </c>
      <c r="V139" s="70" t="s">
        <v>78</v>
      </c>
      <c r="W139" s="70" t="s">
        <v>79</v>
      </c>
      <c r="X139" s="70" t="s">
        <v>80</v>
      </c>
      <c r="Y139" s="131" t="s">
        <v>30</v>
      </c>
      <c r="Z139" s="131" t="s">
        <v>32</v>
      </c>
      <c r="AA139" s="131" t="s">
        <v>81</v>
      </c>
      <c r="AB139" s="131" t="s">
        <v>25</v>
      </c>
      <c r="AC139" s="131" t="s">
        <v>26</v>
      </c>
      <c r="AD139" s="131" t="s">
        <v>27</v>
      </c>
      <c r="AE139" s="131" t="s">
        <v>28</v>
      </c>
      <c r="AF139" s="131" t="s">
        <v>82</v>
      </c>
      <c r="AG139" s="131" t="s">
        <v>29</v>
      </c>
      <c r="AH139" s="132" t="s">
        <v>31</v>
      </c>
    </row>
    <row r="140" spans="19:34" x14ac:dyDescent="0.25">
      <c r="S140" s="116"/>
      <c r="T140" s="70">
        <f>K28</f>
        <v>0.89058791666666659</v>
      </c>
      <c r="U140" s="69">
        <f>S8*T140</f>
        <v>2.3870493072048642E-5</v>
      </c>
      <c r="V140" s="69">
        <f>$T$140*T140</f>
        <v>0.79314683731267344</v>
      </c>
      <c r="W140" s="69">
        <f>$R$8*R8</f>
        <v>4.2845172623208805E-2</v>
      </c>
      <c r="X140" s="69">
        <f>SQRT(W140)</f>
        <v>0.20699075492207086</v>
      </c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</row>
    <row r="141" spans="19:34" x14ac:dyDescent="0.25">
      <c r="S141" s="116"/>
      <c r="T141" s="70">
        <f>M28</f>
        <v>6.758666666666667E-2</v>
      </c>
      <c r="U141" s="69">
        <f t="shared" ref="U141:U149" si="48">S9*T141</f>
        <v>2.7398403600359501E-6</v>
      </c>
      <c r="V141" s="69">
        <f t="shared" ref="V141:V149" si="49">$T$140*T141</f>
        <v>6.0191868661111106E-2</v>
      </c>
      <c r="W141" s="69">
        <f t="shared" ref="W141:W149" si="50">$R$8*R9</f>
        <v>0.12918986849197683</v>
      </c>
      <c r="X141" s="69">
        <f t="shared" ref="X141:X149" si="51">SQRT(W141)</f>
        <v>0.35942992153127268</v>
      </c>
      <c r="Y141" s="70">
        <f t="shared" ref="Y141:Y149" si="52">(($T$140*T141)*SQRT($R$8*R9))*(1-B60)</f>
        <v>2.1691009002121012E-2</v>
      </c>
      <c r="Z141" s="70"/>
      <c r="AA141" s="70"/>
      <c r="AB141" s="70"/>
      <c r="AC141" s="70"/>
      <c r="AD141" s="70"/>
      <c r="AE141" s="70"/>
      <c r="AF141" s="70"/>
      <c r="AG141" s="70"/>
      <c r="AH141" s="70"/>
    </row>
    <row r="142" spans="19:34" x14ac:dyDescent="0.25">
      <c r="S142" s="116"/>
      <c r="T142" s="70">
        <f>+E28</f>
        <v>4.0937500000000002E-3</v>
      </c>
      <c r="U142" s="69">
        <f t="shared" si="48"/>
        <v>2.3054473242369156E-7</v>
      </c>
      <c r="V142" s="69">
        <f t="shared" si="49"/>
        <v>3.6458442838541664E-3</v>
      </c>
      <c r="W142" s="69">
        <f t="shared" si="50"/>
        <v>0.24193902239770376</v>
      </c>
      <c r="X142" s="69">
        <f t="shared" si="51"/>
        <v>0.49187297384355622</v>
      </c>
      <c r="Y142" s="70">
        <f t="shared" si="52"/>
        <v>1.7681861782889009E-3</v>
      </c>
      <c r="Z142" s="70">
        <f t="shared" ref="Z142:Z149" si="53">(($T$141*T142)*SQRT($R$9*R10))*(1-B61)</f>
        <v>2.330105046392532E-4</v>
      </c>
      <c r="AA142" s="70"/>
      <c r="AB142" s="70"/>
      <c r="AC142" s="70"/>
      <c r="AD142" s="70"/>
      <c r="AE142" s="70"/>
      <c r="AF142" s="70"/>
      <c r="AG142" s="70"/>
      <c r="AH142" s="70"/>
    </row>
    <row r="143" spans="19:34" x14ac:dyDescent="0.25">
      <c r="S143" s="116"/>
      <c r="T143" s="70">
        <f>+G28</f>
        <v>3.7208333333333348E-4</v>
      </c>
      <c r="U143" s="69">
        <f t="shared" si="48"/>
        <v>2.6955153384254979E-8</v>
      </c>
      <c r="V143" s="69">
        <f t="shared" si="49"/>
        <v>3.3137292065972231E-4</v>
      </c>
      <c r="W143" s="69">
        <f t="shared" si="50"/>
        <v>0.39059496580954223</v>
      </c>
      <c r="X143" s="69">
        <f t="shared" si="51"/>
        <v>0.62497597218576506</v>
      </c>
      <c r="Y143" s="70">
        <f t="shared" si="52"/>
        <v>2.0179835034626548E-4</v>
      </c>
      <c r="Z143" s="70">
        <f t="shared" si="53"/>
        <v>2.6592864499741283E-5</v>
      </c>
      <c r="AA143" s="70">
        <f t="shared" ref="AA143:AA149" si="54">(($T$142*U143)*SQRT($R$10*S11))*(1-C62)</f>
        <v>1.0222131771101597E-12</v>
      </c>
      <c r="AB143" s="70"/>
      <c r="AC143" s="70"/>
      <c r="AD143" s="70"/>
      <c r="AE143" s="70"/>
      <c r="AF143" s="70"/>
      <c r="AG143" s="70"/>
      <c r="AH143" s="70"/>
    </row>
    <row r="144" spans="19:34" x14ac:dyDescent="0.25">
      <c r="S144" s="116"/>
      <c r="T144" s="70">
        <f>+F28</f>
        <v>2.8041666666666682E-4</v>
      </c>
      <c r="U144" s="69">
        <f t="shared" si="48"/>
        <v>2.0321975211283568E-8</v>
      </c>
      <c r="V144" s="69">
        <f t="shared" si="49"/>
        <v>2.4973569496527788E-4</v>
      </c>
      <c r="W144" s="69">
        <f t="shared" si="50"/>
        <v>0.36453710099529019</v>
      </c>
      <c r="X144" s="69">
        <f t="shared" si="51"/>
        <v>0.60376907919774281</v>
      </c>
      <c r="Y144" s="70">
        <f t="shared" si="52"/>
        <v>1.487772808071207E-4</v>
      </c>
      <c r="Z144" s="70">
        <f t="shared" si="53"/>
        <v>1.9605780039107924E-5</v>
      </c>
      <c r="AA144" s="70">
        <f t="shared" si="54"/>
        <v>7.5832679218344627E-13</v>
      </c>
      <c r="AB144" s="70">
        <f t="shared" ref="AB144:AB149" si="55">(($T$143*V144)*SQRT($R$11*T144))*(1-D63)</f>
        <v>2.1304681901356766E-9</v>
      </c>
      <c r="AC144" s="70"/>
      <c r="AD144" s="70"/>
      <c r="AE144" s="70"/>
      <c r="AF144" s="70"/>
      <c r="AG144" s="70"/>
      <c r="AH144" s="70"/>
    </row>
    <row r="145" spans="19:34" x14ac:dyDescent="0.25">
      <c r="S145" s="116"/>
      <c r="T145" s="70">
        <f>+I28</f>
        <v>4.1666666666666686E-5</v>
      </c>
      <c r="U145" s="69">
        <f t="shared" si="48"/>
        <v>3.7566062314119699E-9</v>
      </c>
      <c r="V145" s="69">
        <f t="shared" si="49"/>
        <v>3.7107829861111126E-5</v>
      </c>
      <c r="W145" s="69">
        <f t="shared" si="50"/>
        <v>0.57891172563229198</v>
      </c>
      <c r="X145" s="69">
        <f t="shared" si="51"/>
        <v>0.76086248799128742</v>
      </c>
      <c r="Y145" s="70">
        <f t="shared" si="52"/>
        <v>2.8392065904294065E-5</v>
      </c>
      <c r="Z145" s="70">
        <f t="shared" si="53"/>
        <v>3.7414892647292104E-6</v>
      </c>
      <c r="AA145" s="70">
        <f t="shared" si="54"/>
        <v>1.5786939206030981E-13</v>
      </c>
      <c r="AB145" s="70">
        <f t="shared" si="55"/>
        <v>1.210710688376392E-10</v>
      </c>
      <c r="AC145" s="70">
        <f>(($T$144*W145)*SQRT($R$12*U145))*(1-E64)</f>
        <v>1.3204118080280846E-8</v>
      </c>
      <c r="AD145" s="70"/>
      <c r="AE145" s="70"/>
      <c r="AF145" s="70"/>
      <c r="AG145" s="70"/>
      <c r="AH145" s="70"/>
    </row>
    <row r="146" spans="19:34" x14ac:dyDescent="0.25">
      <c r="S146" s="116"/>
      <c r="T146" s="70">
        <f>+H28</f>
        <v>5.708333333333335E-5</v>
      </c>
      <c r="U146" s="69">
        <f t="shared" si="48"/>
        <v>5.0297244953247537E-9</v>
      </c>
      <c r="V146" s="69">
        <f t="shared" si="49"/>
        <v>5.0837726909722236E-5</v>
      </c>
      <c r="W146" s="69">
        <f t="shared" si="50"/>
        <v>0.54235185847350886</v>
      </c>
      <c r="X146" s="69">
        <f t="shared" si="51"/>
        <v>0.73644542124553181</v>
      </c>
      <c r="Y146" s="70">
        <f t="shared" si="52"/>
        <v>3.6578109351384197E-5</v>
      </c>
      <c r="Z146" s="70">
        <f t="shared" si="53"/>
        <v>4.820241116783146E-6</v>
      </c>
      <c r="AA146" s="70">
        <f t="shared" si="54"/>
        <v>2.0732881213266959E-13</v>
      </c>
      <c r="AB146" s="70">
        <f t="shared" si="55"/>
        <v>1.9108015006227809E-10</v>
      </c>
      <c r="AC146" s="70">
        <f>(($T$144*W146)*SQRT($R$12*U146))*(1-E65)</f>
        <v>1.4313717686989807E-8</v>
      </c>
      <c r="AD146" s="70">
        <f>(($T$145*X146)*SQRT($R$13*V146))*(1-F65)</f>
        <v>3.6589214438016914E-7</v>
      </c>
      <c r="AE146" s="70"/>
      <c r="AF146" s="70"/>
      <c r="AG146" s="70"/>
      <c r="AH146" s="70"/>
    </row>
    <row r="147" spans="19:34" x14ac:dyDescent="0.25">
      <c r="S147" s="116"/>
      <c r="T147" s="70">
        <f>+D28</f>
        <v>1.2833333333333338E-4</v>
      </c>
      <c r="U147" s="69">
        <f t="shared" si="48"/>
        <v>1.3930027256421823E-8</v>
      </c>
      <c r="V147" s="69">
        <f t="shared" si="49"/>
        <v>1.1429211597222226E-4</v>
      </c>
      <c r="W147" s="69">
        <f t="shared" si="50"/>
        <v>0.8050809492880614</v>
      </c>
      <c r="X147" s="69">
        <f t="shared" si="51"/>
        <v>0.89726303238685889</v>
      </c>
      <c r="Y147" s="70">
        <f t="shared" si="52"/>
        <v>9.8222476733719513E-5</v>
      </c>
      <c r="Z147" s="70">
        <f t="shared" si="53"/>
        <v>1.2943698549204378E-5</v>
      </c>
      <c r="AA147" s="70">
        <f t="shared" si="54"/>
        <v>6.4875152167078575E-13</v>
      </c>
      <c r="AB147" s="70">
        <f t="shared" si="55"/>
        <v>6.6131741842947791E-10</v>
      </c>
      <c r="AC147" s="70">
        <f>(($T$144*W147)*SQRT($R$12*U147))*(1-E66)</f>
        <v>3.5360202962291995E-8</v>
      </c>
      <c r="AD147" s="70">
        <f>(($T$145*X147)*SQRT($R$13*V147))*(1-F66)</f>
        <v>6.7215995233162631E-7</v>
      </c>
      <c r="AE147" s="70">
        <f>(($T$146*Y147)*SQRT($R$14*W147))*(1-G66)</f>
        <v>8.1433869832979444E-9</v>
      </c>
      <c r="AF147" s="70"/>
      <c r="AG147" s="70"/>
      <c r="AH147" s="70"/>
    </row>
    <row r="148" spans="19:34" x14ac:dyDescent="0.25">
      <c r="S148" s="116"/>
      <c r="T148" s="70">
        <f>+J28</f>
        <v>3.466166666666666E-2</v>
      </c>
      <c r="U148" s="69">
        <f t="shared" si="48"/>
        <v>8.3223530658709252E-7</v>
      </c>
      <c r="V148" s="69">
        <f t="shared" si="49"/>
        <v>3.0869261504861103E-2</v>
      </c>
      <c r="W148" s="69">
        <f t="shared" si="50"/>
        <v>1.8651528335962096E-2</v>
      </c>
      <c r="X148" s="69">
        <f t="shared" si="51"/>
        <v>0.13657059835836591</v>
      </c>
      <c r="Y148" s="70">
        <f t="shared" si="52"/>
        <v>4.0847210922956992E-3</v>
      </c>
      <c r="Z148" s="70">
        <f t="shared" si="53"/>
        <v>5.3828207386366752E-4</v>
      </c>
      <c r="AA148" s="70">
        <f t="shared" si="54"/>
        <v>1.7119087934375599E-11</v>
      </c>
      <c r="AB148" s="70">
        <f t="shared" si="55"/>
        <v>2.6872321095698454E-6</v>
      </c>
      <c r="AC148" s="70">
        <f>(($T$144*W148)*SQRT($R$12*U148))*(1-E67)</f>
        <v>5.6778495208798779E-9</v>
      </c>
      <c r="AD148" s="70">
        <f>(($T$145*X148)*SQRT($R$13*V148))*(1-F67)</f>
        <v>1.5382524539101436E-6</v>
      </c>
      <c r="AE148" s="70">
        <f>(($T$146*Y148)*SQRT($R$14*W148))*(1-G67)</f>
        <v>4.6793358409696028E-8</v>
      </c>
      <c r="AF148" s="70">
        <f>(($T$147*Z148)*SQRT($R$15*X148))*(1-H67)</f>
        <v>4.531216447214958E-8</v>
      </c>
      <c r="AG148" s="70"/>
      <c r="AH148" s="70"/>
    </row>
    <row r="149" spans="19:34" x14ac:dyDescent="0.25">
      <c r="S149" s="116"/>
      <c r="T149" s="70">
        <f>L28</f>
        <v>2.1883333333333342E-3</v>
      </c>
      <c r="U149" s="69">
        <f t="shared" si="48"/>
        <v>5.832709547771615E-8</v>
      </c>
      <c r="V149" s="69">
        <f t="shared" si="49"/>
        <v>1.9489032243055562E-3</v>
      </c>
      <c r="W149" s="69">
        <f t="shared" si="50"/>
        <v>8.5334097849090448E-2</v>
      </c>
      <c r="X149" s="69">
        <f t="shared" si="51"/>
        <v>0.29212000590355064</v>
      </c>
      <c r="Y149" s="70">
        <f t="shared" si="52"/>
        <v>5.1699369958388484E-4</v>
      </c>
      <c r="Z149" s="70">
        <f t="shared" si="53"/>
        <v>6.81291168964634E-5</v>
      </c>
      <c r="AA149" s="70">
        <f t="shared" si="54"/>
        <v>1.1565575214230893E-12</v>
      </c>
      <c r="AB149" s="70">
        <f t="shared" si="55"/>
        <v>4.0815921127472037E-8</v>
      </c>
      <c r="AC149" s="70">
        <f>(($T$144*W149)*SQRT($R$12*U149))*(1-E68)</f>
        <v>6.7490036783808357E-9</v>
      </c>
      <c r="AD149" s="70">
        <f>(($T$145*X149)*SQRT($R$13*V149))*(1-F68)</f>
        <v>7.7883362177206931E-7</v>
      </c>
      <c r="AE149" s="70">
        <f>(($T$146*Y149)*SQRT($R$14*W149))*(1-G68)</f>
        <v>1.0898632354910233E-8</v>
      </c>
      <c r="AF149" s="70">
        <f>(($T$147*Z149)*SQRT($R$15*X149))*(1-H68)</f>
        <v>8.1807432371860085E-9</v>
      </c>
      <c r="AG149" s="70">
        <f>(($T$148*AA149)*SQRT($R$16*Y149))*(1-I68)</f>
        <v>2.4351798896968384E-16</v>
      </c>
      <c r="AH149" s="70"/>
    </row>
    <row r="150" spans="19:34" x14ac:dyDescent="0.25">
      <c r="S150" s="116"/>
      <c r="T150" s="130" t="s">
        <v>77</v>
      </c>
      <c r="U150" s="133">
        <f>SUM(U140:U149)</f>
        <v>2.7801434053151789E-5</v>
      </c>
      <c r="V150" s="108"/>
      <c r="W150" s="108"/>
      <c r="X150" s="108"/>
      <c r="Y150" s="70">
        <f>SUM(Y141:Y149)</f>
        <v>2.8574678255432282E-2</v>
      </c>
      <c r="Z150" s="70">
        <f t="shared" ref="Z150:AG150" si="56">SUM(Z141:Z149)</f>
        <v>9.0712576886895011E-4</v>
      </c>
      <c r="AA150" s="70">
        <f t="shared" si="56"/>
        <v>2.1070135150956056E-11</v>
      </c>
      <c r="AB150" s="70">
        <f t="shared" si="56"/>
        <v>2.7311519675247824E-6</v>
      </c>
      <c r="AC150" s="70">
        <f t="shared" si="56"/>
        <v>7.5304891928823375E-8</v>
      </c>
      <c r="AD150" s="70">
        <f t="shared" si="56"/>
        <v>3.3551381723940082E-6</v>
      </c>
      <c r="AE150" s="70">
        <f t="shared" si="56"/>
        <v>6.5835377747904203E-8</v>
      </c>
      <c r="AF150" s="70">
        <f t="shared" si="56"/>
        <v>5.3492907709335587E-8</v>
      </c>
      <c r="AG150" s="70">
        <f t="shared" si="56"/>
        <v>2.4351798896968384E-16</v>
      </c>
      <c r="AH150" s="130">
        <f>SUM(Y150:AG150)</f>
        <v>2.9488084968688915E-2</v>
      </c>
    </row>
    <row r="151" spans="19:34" x14ac:dyDescent="0.25">
      <c r="S151" s="116"/>
    </row>
    <row r="152" spans="19:34" x14ac:dyDescent="0.25">
      <c r="S152" s="116"/>
      <c r="T152" s="112" t="s">
        <v>99</v>
      </c>
      <c r="U152" s="108"/>
      <c r="V152" s="108"/>
      <c r="W152" s="108"/>
      <c r="X152" s="108"/>
      <c r="Y152" s="108"/>
      <c r="Z152" s="108"/>
      <c r="AA152" s="108"/>
      <c r="AB152" s="108"/>
    </row>
    <row r="153" spans="19:34" x14ac:dyDescent="0.25">
      <c r="S153" s="116"/>
      <c r="T153" s="137" t="s">
        <v>100</v>
      </c>
      <c r="U153" s="138">
        <f>+AH150</f>
        <v>2.9488084968688915E-2</v>
      </c>
      <c r="V153" s="138" t="s">
        <v>101</v>
      </c>
      <c r="W153" s="139"/>
      <c r="X153" s="108"/>
      <c r="Y153" s="108"/>
      <c r="Z153" s="108"/>
      <c r="AA153" s="108"/>
      <c r="AB153" s="108"/>
    </row>
    <row r="154" spans="19:34" x14ac:dyDescent="0.25">
      <c r="S154" s="116"/>
      <c r="T154" s="137" t="s">
        <v>103</v>
      </c>
      <c r="U154" s="138">
        <f>+U150</f>
        <v>2.7801434053151789E-5</v>
      </c>
      <c r="V154" s="138" t="s">
        <v>101</v>
      </c>
      <c r="W154" s="108"/>
      <c r="X154" s="108"/>
      <c r="Y154" s="108"/>
      <c r="Z154" s="140">
        <f>(U158*U158)+(2*U154*U158)-(U154*U154)</f>
        <v>2.7146662523077775E-7</v>
      </c>
      <c r="AA154" s="108"/>
      <c r="AB154" s="108"/>
    </row>
    <row r="155" spans="19:34" x14ac:dyDescent="0.25">
      <c r="S155" s="116"/>
      <c r="T155" s="137" t="s">
        <v>104</v>
      </c>
      <c r="U155" s="138">
        <v>8.3145100000000003</v>
      </c>
      <c r="V155" s="138" t="s">
        <v>105</v>
      </c>
      <c r="W155" s="108"/>
      <c r="X155" s="108"/>
      <c r="Y155" s="108"/>
      <c r="Z155" s="140"/>
      <c r="AA155" s="108"/>
      <c r="AB155" s="108"/>
    </row>
    <row r="156" spans="19:34" x14ac:dyDescent="0.25">
      <c r="S156" s="116"/>
      <c r="T156" s="137" t="s">
        <v>106</v>
      </c>
      <c r="U156" s="141">
        <f>B28*98066.5</f>
        <v>4789567.8600000003</v>
      </c>
      <c r="V156" s="142" t="s">
        <v>107</v>
      </c>
      <c r="W156" s="108"/>
      <c r="X156" s="108"/>
      <c r="Y156" s="108"/>
      <c r="Z156" s="140">
        <f>U153/Z154</f>
        <v>108625.08399926018</v>
      </c>
      <c r="AA156" s="108"/>
      <c r="AB156" s="108"/>
    </row>
    <row r="157" spans="19:34" x14ac:dyDescent="0.25">
      <c r="S157" s="116"/>
      <c r="T157" s="137" t="s">
        <v>108</v>
      </c>
      <c r="U157" s="141" t="s">
        <v>109</v>
      </c>
      <c r="V157" s="138" t="s">
        <v>110</v>
      </c>
      <c r="W157" s="108"/>
      <c r="X157" s="108"/>
      <c r="Y157" s="108"/>
      <c r="Z157" s="140"/>
      <c r="AA157" s="108"/>
      <c r="AB157" s="108"/>
    </row>
    <row r="158" spans="19:34" x14ac:dyDescent="0.25">
      <c r="S158" s="116"/>
      <c r="T158" s="137" t="s">
        <v>112</v>
      </c>
      <c r="U158" s="138">
        <f>+U166</f>
        <v>4.9470451299587581E-4</v>
      </c>
      <c r="V158" s="138" t="s">
        <v>113</v>
      </c>
      <c r="W158" s="108"/>
      <c r="X158" s="108"/>
      <c r="Y158" s="108"/>
      <c r="Z158" s="140">
        <f>U158-U154</f>
        <v>4.6690307894272401E-4</v>
      </c>
      <c r="AA158" s="108"/>
      <c r="AB158" s="108"/>
    </row>
    <row r="159" spans="19:34" x14ac:dyDescent="0.25">
      <c r="S159" s="116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19:34" x14ac:dyDescent="0.25">
      <c r="S160" s="116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19:34" x14ac:dyDescent="0.25">
      <c r="S161" s="116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19:34" x14ac:dyDescent="0.25">
      <c r="S162" s="116"/>
      <c r="T162" s="108" t="s">
        <v>116</v>
      </c>
      <c r="U162" s="108">
        <v>0.98</v>
      </c>
      <c r="V162" s="108"/>
      <c r="W162" s="108"/>
      <c r="X162" s="108"/>
      <c r="Y162" s="108"/>
      <c r="Z162" s="108"/>
      <c r="AA162" s="108"/>
      <c r="AB162" s="108"/>
    </row>
    <row r="163" spans="19:34" x14ac:dyDescent="0.25">
      <c r="S163" s="116"/>
      <c r="T163" s="108" t="s">
        <v>106</v>
      </c>
      <c r="U163" s="143">
        <f>U156</f>
        <v>4789567.8600000003</v>
      </c>
      <c r="V163" s="108" t="s">
        <v>117</v>
      </c>
      <c r="W163" s="108"/>
      <c r="X163" s="108"/>
      <c r="Y163" s="108"/>
      <c r="Z163" s="108"/>
      <c r="AA163" s="108"/>
      <c r="AB163" s="108"/>
    </row>
    <row r="164" spans="19:34" x14ac:dyDescent="0.25">
      <c r="S164" s="116"/>
      <c r="T164" s="108" t="s">
        <v>118</v>
      </c>
      <c r="U164" s="143">
        <f>C28+273.15</f>
        <v>290.78999999999996</v>
      </c>
      <c r="V164" s="108" t="s">
        <v>49</v>
      </c>
      <c r="W164" s="108"/>
      <c r="X164" s="108"/>
      <c r="Y164" s="108"/>
      <c r="Z164" s="108"/>
      <c r="AA164" s="108"/>
      <c r="AB164" s="108"/>
    </row>
    <row r="165" spans="19:34" x14ac:dyDescent="0.25">
      <c r="S165" s="116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spans="19:34" x14ac:dyDescent="0.25">
      <c r="S166" s="116"/>
      <c r="T166" s="108" t="s">
        <v>121</v>
      </c>
      <c r="U166" s="108">
        <f>(0.98*U155*U164)/U163</f>
        <v>4.9470451299587581E-4</v>
      </c>
      <c r="V166" s="108" t="s">
        <v>113</v>
      </c>
      <c r="W166" s="108"/>
      <c r="X166" s="108"/>
      <c r="Y166" s="108"/>
      <c r="Z166" s="108"/>
      <c r="AA166" s="108"/>
      <c r="AB166" s="108"/>
    </row>
    <row r="167" spans="19:34" x14ac:dyDescent="0.25">
      <c r="S167" s="116"/>
      <c r="T167" s="144"/>
      <c r="U167" s="145"/>
      <c r="V167" s="145"/>
      <c r="W167" s="116"/>
      <c r="X167" s="116"/>
      <c r="Y167" s="116"/>
      <c r="Z167" s="146"/>
      <c r="AA167" s="116"/>
      <c r="AB167" s="116"/>
      <c r="AC167" s="116"/>
      <c r="AD167" s="116"/>
      <c r="AE167" s="116"/>
      <c r="AF167" s="116"/>
      <c r="AG167" s="116"/>
      <c r="AH167" s="116"/>
    </row>
    <row r="168" spans="19:34" ht="15.75" thickBot="1" x14ac:dyDescent="0.3"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</row>
    <row r="169" spans="19:34" ht="15.75" thickBot="1" x14ac:dyDescent="0.3">
      <c r="S169" s="116"/>
      <c r="V169" s="162" t="s">
        <v>60</v>
      </c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4"/>
    </row>
    <row r="170" spans="19:34" x14ac:dyDescent="0.25">
      <c r="S170" s="116"/>
      <c r="Y170" s="175" t="s">
        <v>63</v>
      </c>
      <c r="Z170" s="175"/>
      <c r="AA170" s="175"/>
      <c r="AB170" s="175"/>
      <c r="AC170" s="175"/>
      <c r="AD170" s="175"/>
      <c r="AE170" s="175"/>
      <c r="AF170" s="175"/>
      <c r="AG170" s="175"/>
      <c r="AH170" s="175"/>
    </row>
    <row r="171" spans="19:34" ht="17.25" x14ac:dyDescent="0.25">
      <c r="S171" s="116">
        <v>6</v>
      </c>
      <c r="T171" s="70" t="s">
        <v>76</v>
      </c>
      <c r="U171" s="130" t="s">
        <v>77</v>
      </c>
      <c r="V171" s="70" t="s">
        <v>78</v>
      </c>
      <c r="W171" s="70" t="s">
        <v>79</v>
      </c>
      <c r="X171" s="70" t="s">
        <v>80</v>
      </c>
      <c r="Y171" s="131" t="s">
        <v>30</v>
      </c>
      <c r="Z171" s="131" t="s">
        <v>32</v>
      </c>
      <c r="AA171" s="131" t="s">
        <v>81</v>
      </c>
      <c r="AB171" s="131" t="s">
        <v>25</v>
      </c>
      <c r="AC171" s="131" t="s">
        <v>26</v>
      </c>
      <c r="AD171" s="131" t="s">
        <v>27</v>
      </c>
      <c r="AE171" s="131" t="s">
        <v>28</v>
      </c>
      <c r="AF171" s="131" t="s">
        <v>82</v>
      </c>
      <c r="AG171" s="131" t="s">
        <v>29</v>
      </c>
      <c r="AH171" s="132" t="s">
        <v>31</v>
      </c>
    </row>
    <row r="172" spans="19:34" x14ac:dyDescent="0.25">
      <c r="S172" s="116"/>
      <c r="T172" s="70">
        <f>K29</f>
        <v>0.90078749999999996</v>
      </c>
      <c r="U172" s="69">
        <f>+S8*T172</f>
        <v>2.4143873250175674E-5</v>
      </c>
      <c r="V172" s="69">
        <f>$T$172*T172</f>
        <v>0.81141812015624992</v>
      </c>
      <c r="W172" s="69">
        <f>$R$8*R8</f>
        <v>4.2845172623208805E-2</v>
      </c>
      <c r="X172" s="69">
        <f>SQRT(W172)</f>
        <v>0.20699075492207086</v>
      </c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</row>
    <row r="173" spans="19:34" x14ac:dyDescent="0.25">
      <c r="S173" s="116"/>
      <c r="T173" s="70">
        <f>M29</f>
        <v>6.050291666666667E-2</v>
      </c>
      <c r="U173" s="69">
        <f t="shared" ref="U173:U181" si="57">+S9*T173</f>
        <v>2.4526780378263726E-6</v>
      </c>
      <c r="V173" s="69">
        <f t="shared" ref="V173:V181" si="58">$T$172*T173</f>
        <v>5.4500271046875E-2</v>
      </c>
      <c r="W173" s="69">
        <f t="shared" ref="W173:W181" si="59">$R$8*R9</f>
        <v>0.12918986849197683</v>
      </c>
      <c r="X173" s="69">
        <f t="shared" ref="X173:X181" si="60">SQRT(W173)</f>
        <v>0.35942992153127268</v>
      </c>
      <c r="Y173" s="70">
        <f t="shared" ref="Y173:Y181" si="61">(($T$172*T173)*SQRT($R$8*R9))*(1-B60)</f>
        <v>1.9639959618990482E-2</v>
      </c>
      <c r="Z173" s="70"/>
      <c r="AA173" s="70"/>
      <c r="AB173" s="70"/>
      <c r="AC173" s="70"/>
      <c r="AD173" s="70"/>
      <c r="AE173" s="70"/>
      <c r="AF173" s="70"/>
      <c r="AG173" s="70"/>
      <c r="AH173" s="70"/>
    </row>
    <row r="174" spans="19:34" x14ac:dyDescent="0.25">
      <c r="S174" s="116"/>
      <c r="T174" s="70">
        <f>+E29</f>
        <v>4.0162500000000007E-3</v>
      </c>
      <c r="U174" s="69">
        <f t="shared" si="57"/>
        <v>2.2618022145872399E-7</v>
      </c>
      <c r="V174" s="69">
        <f t="shared" si="58"/>
        <v>3.6177877968750004E-3</v>
      </c>
      <c r="W174" s="69">
        <f t="shared" si="59"/>
        <v>0.24193902239770376</v>
      </c>
      <c r="X174" s="69">
        <f t="shared" si="60"/>
        <v>0.49187297384355622</v>
      </c>
      <c r="Y174" s="70">
        <f t="shared" si="61"/>
        <v>1.7545791537904602E-3</v>
      </c>
      <c r="Z174" s="70">
        <f t="shared" ref="Z174:Z181" si="62">(($T$173*T174)*SQRT($R$9*R10))*(1-B61)</f>
        <v>2.0463984823067526E-4</v>
      </c>
      <c r="AA174" s="70"/>
      <c r="AB174" s="70"/>
      <c r="AC174" s="70"/>
      <c r="AD174" s="70"/>
      <c r="AE174" s="70"/>
      <c r="AF174" s="70"/>
      <c r="AG174" s="70"/>
      <c r="AH174" s="70"/>
    </row>
    <row r="175" spans="19:34" x14ac:dyDescent="0.25">
      <c r="S175" s="116"/>
      <c r="T175" s="70">
        <f>+G29</f>
        <v>4.4916666666666667E-4</v>
      </c>
      <c r="U175" s="69">
        <f t="shared" si="57"/>
        <v>3.253936769118349E-8</v>
      </c>
      <c r="V175" s="69">
        <f t="shared" si="58"/>
        <v>4.0460371874999996E-4</v>
      </c>
      <c r="W175" s="69">
        <f t="shared" si="59"/>
        <v>0.39059496580954223</v>
      </c>
      <c r="X175" s="69">
        <f t="shared" si="60"/>
        <v>0.62497597218576506</v>
      </c>
      <c r="Y175" s="70">
        <f t="shared" si="61"/>
        <v>2.4639419185237772E-4</v>
      </c>
      <c r="Z175" s="70">
        <f t="shared" si="62"/>
        <v>2.8737415417630165E-5</v>
      </c>
      <c r="AA175" s="70">
        <f t="shared" ref="AA175:AA181" si="63">(($T$174*U175)*SQRT($R$10*S11))*(1-C62)</f>
        <v>1.2106209863734827E-12</v>
      </c>
      <c r="AB175" s="70"/>
      <c r="AC175" s="70"/>
      <c r="AD175" s="70"/>
      <c r="AE175" s="70"/>
      <c r="AF175" s="70"/>
      <c r="AG175" s="70"/>
      <c r="AH175" s="70"/>
    </row>
    <row r="176" spans="19:34" x14ac:dyDescent="0.25">
      <c r="S176" s="116"/>
      <c r="T176" s="70">
        <f>+F29</f>
        <v>3.3791666666666687E-4</v>
      </c>
      <c r="U176" s="69">
        <f t="shared" si="57"/>
        <v>2.4489036993092086E-8</v>
      </c>
      <c r="V176" s="69">
        <f t="shared" si="58"/>
        <v>3.0439110937500015E-4</v>
      </c>
      <c r="W176" s="69">
        <f t="shared" si="59"/>
        <v>0.36453710099529019</v>
      </c>
      <c r="X176" s="69">
        <f t="shared" si="60"/>
        <v>0.60376907919774281</v>
      </c>
      <c r="Y176" s="70">
        <f t="shared" si="61"/>
        <v>1.8133764002367309E-4</v>
      </c>
      <c r="Z176" s="70">
        <f t="shared" si="62"/>
        <v>2.1149748105000565E-5</v>
      </c>
      <c r="AA176" s="70">
        <f t="shared" si="63"/>
        <v>8.9652336260992487E-13</v>
      </c>
      <c r="AB176" s="70">
        <f t="shared" ref="AB176:AB181" si="64">(($T$175*V176)*SQRT($R$11*T176))*(1-D63)</f>
        <v>3.4410944539848292E-9</v>
      </c>
      <c r="AC176" s="70"/>
      <c r="AD176" s="70"/>
      <c r="AE176" s="70"/>
      <c r="AF176" s="70"/>
      <c r="AG176" s="70"/>
      <c r="AH176" s="70"/>
    </row>
    <row r="177" spans="19:34" x14ac:dyDescent="0.25">
      <c r="S177" s="116"/>
      <c r="T177" s="70">
        <f>+I29</f>
        <v>4.9583333333333344E-5</v>
      </c>
      <c r="U177" s="69">
        <f t="shared" si="57"/>
        <v>4.470361415380243E-9</v>
      </c>
      <c r="V177" s="69">
        <f t="shared" si="58"/>
        <v>4.4664046875000007E-5</v>
      </c>
      <c r="W177" s="69">
        <f t="shared" si="59"/>
        <v>0.57891172563229198</v>
      </c>
      <c r="X177" s="69">
        <f t="shared" si="60"/>
        <v>0.76086248799128742</v>
      </c>
      <c r="Y177" s="70">
        <f t="shared" si="61"/>
        <v>3.417350373691479E-5</v>
      </c>
      <c r="Z177" s="70">
        <f t="shared" si="62"/>
        <v>3.985719654268629E-6</v>
      </c>
      <c r="AA177" s="70">
        <f t="shared" si="63"/>
        <v>1.8430805632391838E-13</v>
      </c>
      <c r="AB177" s="70">
        <f t="shared" si="64"/>
        <v>1.9189942483396099E-10</v>
      </c>
      <c r="AC177" s="70">
        <f>(($T$176*W177)*SQRT($R$12*U177))*(1-E64)</f>
        <v>1.7357559798495088E-8</v>
      </c>
      <c r="AD177" s="70"/>
      <c r="AE177" s="70"/>
      <c r="AF177" s="70"/>
      <c r="AG177" s="70"/>
      <c r="AH177" s="70"/>
    </row>
    <row r="178" spans="19:34" x14ac:dyDescent="0.25">
      <c r="S178" s="116"/>
      <c r="T178" s="70">
        <f>+H29</f>
        <v>6.7083333333333356E-5</v>
      </c>
      <c r="U178" s="69">
        <f t="shared" si="57"/>
        <v>5.9108441149436885E-9</v>
      </c>
      <c r="V178" s="69">
        <f t="shared" si="58"/>
        <v>6.0427828125000021E-5</v>
      </c>
      <c r="W178" s="69">
        <f t="shared" si="59"/>
        <v>0.54235185847350886</v>
      </c>
      <c r="X178" s="69">
        <f t="shared" si="60"/>
        <v>0.73644542124553181</v>
      </c>
      <c r="Y178" s="70">
        <f t="shared" si="61"/>
        <v>4.347825599968346E-5</v>
      </c>
      <c r="Z178" s="70">
        <f t="shared" si="62"/>
        <v>5.0709503130072158E-6</v>
      </c>
      <c r="AA178" s="70">
        <f t="shared" si="63"/>
        <v>2.3903659266628421E-13</v>
      </c>
      <c r="AB178" s="70">
        <f t="shared" si="64"/>
        <v>2.9722572255870339E-10</v>
      </c>
      <c r="AC178" s="70">
        <f>(($T$176*W178)*SQRT($R$12*U178))*(1-E65)</f>
        <v>1.8698677516395304E-8</v>
      </c>
      <c r="AD178" s="70">
        <f>(($T$177*X178)*SQRT($R$13*V178))*(1-F65)</f>
        <v>4.7470682690764225E-7</v>
      </c>
      <c r="AE178" s="70"/>
      <c r="AF178" s="70"/>
      <c r="AG178" s="70"/>
      <c r="AH178" s="70"/>
    </row>
    <row r="179" spans="19:34" x14ac:dyDescent="0.25">
      <c r="S179" s="116"/>
      <c r="T179" s="70">
        <f>+D29</f>
        <v>1.2458333333333337E-4</v>
      </c>
      <c r="U179" s="69">
        <f t="shared" si="57"/>
        <v>1.3522981005422482E-8</v>
      </c>
      <c r="V179" s="69">
        <f t="shared" si="58"/>
        <v>1.1222310937500002E-4</v>
      </c>
      <c r="W179" s="69">
        <f t="shared" si="59"/>
        <v>0.8050809492880614</v>
      </c>
      <c r="X179" s="69">
        <f t="shared" si="60"/>
        <v>0.89726303238685889</v>
      </c>
      <c r="Y179" s="70">
        <f t="shared" si="61"/>
        <v>9.6444375500499144E-5</v>
      </c>
      <c r="Z179" s="70">
        <f t="shared" si="62"/>
        <v>1.1248487890949493E-5</v>
      </c>
      <c r="AA179" s="70">
        <f t="shared" si="63"/>
        <v>6.1787166957404802E-13</v>
      </c>
      <c r="AB179" s="70">
        <f t="shared" si="64"/>
        <v>7.7233110132251683E-10</v>
      </c>
      <c r="AC179" s="70">
        <f>(($T$176*W179)*SQRT($R$12*U179))*(1-E66)</f>
        <v>4.1983706280728741E-8</v>
      </c>
      <c r="AD179" s="70">
        <f>(($T$177*X179)*SQRT($R$13*V179))*(1-F66)</f>
        <v>7.9259733359060315E-7</v>
      </c>
      <c r="AE179" s="70">
        <f>(($T$178*Y179)*SQRT($R$14*W179))*(1-G66)</f>
        <v>9.3967226096435435E-9</v>
      </c>
      <c r="AF179" s="70"/>
      <c r="AG179" s="70"/>
      <c r="AH179" s="70"/>
    </row>
    <row r="180" spans="19:34" x14ac:dyDescent="0.25">
      <c r="S180" s="116"/>
      <c r="T180" s="70">
        <f>+J29</f>
        <v>3.122666666666667E-2</v>
      </c>
      <c r="U180" s="69">
        <f t="shared" si="57"/>
        <v>7.4976009540874982E-7</v>
      </c>
      <c r="V180" s="69">
        <f t="shared" si="58"/>
        <v>2.8128591000000001E-2</v>
      </c>
      <c r="W180" s="69">
        <f t="shared" si="59"/>
        <v>1.8651528335962096E-2</v>
      </c>
      <c r="X180" s="69">
        <f t="shared" si="60"/>
        <v>0.13657059835836591</v>
      </c>
      <c r="Y180" s="70">
        <f t="shared" si="61"/>
        <v>3.7220666563780812E-3</v>
      </c>
      <c r="Z180" s="70">
        <f t="shared" si="62"/>
        <v>4.3411159537612459E-4</v>
      </c>
      <c r="AA180" s="70">
        <f t="shared" si="63"/>
        <v>1.513060277606211E-11</v>
      </c>
      <c r="AB180" s="70">
        <f t="shared" si="64"/>
        <v>2.8056423834673004E-6</v>
      </c>
      <c r="AC180" s="70">
        <f>(($T$176*W180)*SQRT($R$12*U180))*(1-E67)</f>
        <v>6.4942314308980722E-9</v>
      </c>
      <c r="AD180" s="70">
        <f>(($T$177*X180)*SQRT($R$13*V180))*(1-F67)</f>
        <v>1.7473723014575905E-6</v>
      </c>
      <c r="AE180" s="70">
        <f>(($T$178*Y180)*SQRT($R$14*W180))*(1-G67)</f>
        <v>5.0108483975253869E-8</v>
      </c>
      <c r="AF180" s="70">
        <f>(($T$179*Z180)*SQRT($R$15*X180))*(1-H67)</f>
        <v>3.5475354923141516E-8</v>
      </c>
      <c r="AG180" s="70"/>
      <c r="AH180" s="70"/>
    </row>
    <row r="181" spans="19:34" x14ac:dyDescent="0.25">
      <c r="S181" s="116"/>
      <c r="T181" s="70">
        <f>L29</f>
        <v>2.4337500000000001E-3</v>
      </c>
      <c r="U181" s="69">
        <f t="shared" si="57"/>
        <v>6.4868348188373934E-8</v>
      </c>
      <c r="V181" s="69">
        <f t="shared" si="58"/>
        <v>2.192291578125E-3</v>
      </c>
      <c r="W181" s="69">
        <f t="shared" si="59"/>
        <v>8.5334097849090448E-2</v>
      </c>
      <c r="X181" s="69">
        <f t="shared" si="60"/>
        <v>0.29212000590355064</v>
      </c>
      <c r="Y181" s="70">
        <f t="shared" si="61"/>
        <v>5.8155834492258922E-4</v>
      </c>
      <c r="Z181" s="70">
        <f t="shared" si="62"/>
        <v>6.7828237435251122E-5</v>
      </c>
      <c r="AA181" s="70">
        <f t="shared" si="63"/>
        <v>1.2619122240133871E-12</v>
      </c>
      <c r="AB181" s="70">
        <f t="shared" si="64"/>
        <v>5.8450225335571623E-8</v>
      </c>
      <c r="AC181" s="70">
        <f>(($T$176*W181)*SQRT($R$12*U181))*(1-E68)</f>
        <v>8.5768279690485337E-9</v>
      </c>
      <c r="AD181" s="70">
        <f>(($T$177*X181)*SQRT($R$13*V181))*(1-F68)</f>
        <v>9.8298224510664211E-7</v>
      </c>
      <c r="AE181" s="70">
        <f>(($T$178*Y181)*SQRT($R$14*W181))*(1-G68)</f>
        <v>1.4407391344133959E-8</v>
      </c>
      <c r="AF181" s="70">
        <f>(($T$179*Z181)*SQRT($R$15*X181))*(1-H68)</f>
        <v>7.9066225369729878E-9</v>
      </c>
      <c r="AG181" s="70">
        <f>(($T$180*AA181)*SQRT($R$16*Y181))*(1-I68)</f>
        <v>2.5387688747724626E-16</v>
      </c>
      <c r="AH181" s="70"/>
    </row>
    <row r="182" spans="19:34" x14ac:dyDescent="0.25">
      <c r="S182" s="116"/>
      <c r="T182" s="130" t="s">
        <v>77</v>
      </c>
      <c r="U182" s="133">
        <f>SUM(U172:U181)</f>
        <v>2.7718292544277913E-5</v>
      </c>
      <c r="V182" s="108"/>
      <c r="W182" s="108"/>
      <c r="X182" s="108"/>
      <c r="Y182" s="70">
        <f>SUM(Y173:Y181)</f>
        <v>2.629999174119476E-2</v>
      </c>
      <c r="Z182" s="70">
        <f t="shared" ref="Z182:AG182" si="65">SUM(Z173:Z181)</f>
        <v>7.7677200242290715E-4</v>
      </c>
      <c r="AA182" s="70">
        <f t="shared" si="65"/>
        <v>1.9540875667623152E-11</v>
      </c>
      <c r="AB182" s="70">
        <f t="shared" si="65"/>
        <v>2.8687951595055722E-6</v>
      </c>
      <c r="AC182" s="70">
        <f t="shared" si="65"/>
        <v>9.3111002995565733E-8</v>
      </c>
      <c r="AD182" s="70">
        <f t="shared" si="65"/>
        <v>3.9976587070624781E-6</v>
      </c>
      <c r="AE182" s="70">
        <f t="shared" si="65"/>
        <v>7.3912597929031377E-8</v>
      </c>
      <c r="AF182" s="70">
        <f t="shared" si="65"/>
        <v>4.3381977460114504E-8</v>
      </c>
      <c r="AG182" s="70">
        <f t="shared" si="65"/>
        <v>2.5387688747724626E-16</v>
      </c>
      <c r="AH182" s="130">
        <f>SUM(Y182:AG182)</f>
        <v>2.7083840622603751E-2</v>
      </c>
    </row>
    <row r="183" spans="19:34" x14ac:dyDescent="0.25">
      <c r="S183" s="116"/>
    </row>
    <row r="184" spans="19:34" x14ac:dyDescent="0.25">
      <c r="S184" s="116"/>
      <c r="T184" s="112" t="s">
        <v>99</v>
      </c>
      <c r="U184" s="108"/>
      <c r="V184" s="108"/>
      <c r="W184" s="108"/>
      <c r="X184" s="108"/>
      <c r="Y184" s="108"/>
      <c r="Z184" s="108"/>
      <c r="AA184" s="108"/>
      <c r="AB184" s="108"/>
    </row>
    <row r="185" spans="19:34" x14ac:dyDescent="0.25">
      <c r="S185" s="116"/>
      <c r="T185" s="137" t="s">
        <v>100</v>
      </c>
      <c r="U185" s="138">
        <f>+AH182</f>
        <v>2.7083840622603751E-2</v>
      </c>
      <c r="V185" s="138" t="s">
        <v>101</v>
      </c>
      <c r="W185" s="139"/>
      <c r="X185" s="108"/>
      <c r="Y185" s="108"/>
      <c r="Z185" s="108"/>
      <c r="AA185" s="108"/>
      <c r="AB185" s="108"/>
    </row>
    <row r="186" spans="19:34" x14ac:dyDescent="0.25">
      <c r="S186" s="116"/>
      <c r="T186" s="137" t="s">
        <v>103</v>
      </c>
      <c r="U186" s="138">
        <f>+U182</f>
        <v>2.7718292544277913E-5</v>
      </c>
      <c r="V186" s="138" t="s">
        <v>101</v>
      </c>
      <c r="W186" s="108"/>
      <c r="X186" s="108"/>
      <c r="Y186" s="108"/>
      <c r="Z186" s="140">
        <f>(U190*U190)+(2*U186*U190)-(U186*U186)</f>
        <v>2.9396618828458604E-7</v>
      </c>
      <c r="AA186" s="108"/>
      <c r="AB186" s="108"/>
    </row>
    <row r="187" spans="19:34" x14ac:dyDescent="0.25">
      <c r="S187" s="116"/>
      <c r="T187" s="137" t="s">
        <v>104</v>
      </c>
      <c r="U187" s="138">
        <v>8.3145100000000003</v>
      </c>
      <c r="V187" s="138" t="s">
        <v>105</v>
      </c>
      <c r="W187" s="108"/>
      <c r="X187" s="108"/>
      <c r="Y187" s="108"/>
      <c r="Z187" s="140"/>
      <c r="AA187" s="108"/>
      <c r="AB187" s="108"/>
    </row>
    <row r="188" spans="19:34" x14ac:dyDescent="0.25">
      <c r="S188" s="116"/>
      <c r="T188" s="137" t="s">
        <v>106</v>
      </c>
      <c r="U188" s="141">
        <f>B29*98066.5</f>
        <v>4591600.4894014206</v>
      </c>
      <c r="V188" s="142" t="s">
        <v>107</v>
      </c>
      <c r="W188" s="108"/>
      <c r="X188" s="108"/>
      <c r="Y188" s="108"/>
      <c r="Z188" s="140">
        <f>U185/Z186</f>
        <v>92132.502654979238</v>
      </c>
      <c r="AA188" s="108"/>
      <c r="AB188" s="108"/>
    </row>
    <row r="189" spans="19:34" x14ac:dyDescent="0.25">
      <c r="S189" s="116"/>
      <c r="T189" s="137" t="s">
        <v>108</v>
      </c>
      <c r="U189" s="141" t="s">
        <v>109</v>
      </c>
      <c r="V189" s="138" t="s">
        <v>110</v>
      </c>
      <c r="W189" s="108"/>
      <c r="X189" s="108"/>
      <c r="Y189" s="108"/>
      <c r="Z189" s="140"/>
      <c r="AA189" s="108"/>
      <c r="AB189" s="108"/>
    </row>
    <row r="190" spans="19:34" x14ac:dyDescent="0.25">
      <c r="S190" s="116"/>
      <c r="T190" s="137" t="s">
        <v>112</v>
      </c>
      <c r="U190" s="138">
        <f>+U198</f>
        <v>5.1588339598117761E-4</v>
      </c>
      <c r="V190" s="138" t="s">
        <v>113</v>
      </c>
      <c r="W190" s="108"/>
      <c r="X190" s="108"/>
      <c r="Y190" s="108"/>
      <c r="Z190" s="140">
        <f>U190-U186</f>
        <v>4.8816510343689971E-4</v>
      </c>
      <c r="AA190" s="108"/>
      <c r="AB190" s="108"/>
    </row>
    <row r="191" spans="19:34" x14ac:dyDescent="0.25">
      <c r="S191" s="116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19:34" x14ac:dyDescent="0.25">
      <c r="S192" s="116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19:34" x14ac:dyDescent="0.25">
      <c r="S193" s="116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19:34" x14ac:dyDescent="0.25">
      <c r="S194" s="116"/>
      <c r="T194" s="108" t="s">
        <v>116</v>
      </c>
      <c r="U194" s="108">
        <v>0.98</v>
      </c>
      <c r="V194" s="108"/>
      <c r="W194" s="108"/>
      <c r="X194" s="108"/>
      <c r="Y194" s="108"/>
      <c r="Z194" s="108"/>
      <c r="AA194" s="108"/>
      <c r="AB194" s="108"/>
    </row>
    <row r="195" spans="19:34" x14ac:dyDescent="0.25">
      <c r="S195" s="116"/>
      <c r="T195" s="108" t="s">
        <v>106</v>
      </c>
      <c r="U195" s="143">
        <f>U188</f>
        <v>4591600.4894014206</v>
      </c>
      <c r="V195" s="108" t="s">
        <v>117</v>
      </c>
      <c r="W195" s="108"/>
      <c r="X195" s="108"/>
      <c r="Y195" s="108"/>
      <c r="Z195" s="108"/>
      <c r="AA195" s="108"/>
      <c r="AB195" s="108"/>
    </row>
    <row r="196" spans="19:34" x14ac:dyDescent="0.25">
      <c r="S196" s="116"/>
      <c r="T196" s="108" t="s">
        <v>118</v>
      </c>
      <c r="U196" s="143">
        <f>C29+273.15</f>
        <v>290.70527202288309</v>
      </c>
      <c r="V196" s="108" t="s">
        <v>49</v>
      </c>
      <c r="W196" s="108"/>
      <c r="X196" s="108"/>
      <c r="Y196" s="108"/>
      <c r="Z196" s="108"/>
      <c r="AA196" s="108"/>
      <c r="AB196" s="108"/>
    </row>
    <row r="197" spans="19:34" x14ac:dyDescent="0.25">
      <c r="S197" s="116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19:34" x14ac:dyDescent="0.25">
      <c r="S198" s="116"/>
      <c r="T198" s="108" t="s">
        <v>121</v>
      </c>
      <c r="U198" s="108">
        <f>(0.98*U187*U196)/U195</f>
        <v>5.1588339598117761E-4</v>
      </c>
      <c r="V198" s="108" t="s">
        <v>113</v>
      </c>
      <c r="W198" s="108"/>
      <c r="X198" s="108"/>
      <c r="Y198" s="108"/>
      <c r="Z198" s="108"/>
      <c r="AA198" s="108"/>
      <c r="AB198" s="108"/>
    </row>
    <row r="199" spans="19:34" x14ac:dyDescent="0.25">
      <c r="S199" s="116"/>
      <c r="T199" s="144"/>
      <c r="U199" s="145"/>
      <c r="V199" s="145"/>
      <c r="W199" s="116"/>
      <c r="X199" s="116"/>
      <c r="Y199" s="116"/>
      <c r="Z199" s="146"/>
      <c r="AA199" s="116"/>
      <c r="AB199" s="116"/>
      <c r="AC199" s="116"/>
      <c r="AD199" s="116"/>
      <c r="AE199" s="116"/>
      <c r="AF199" s="116"/>
      <c r="AG199" s="116"/>
      <c r="AH199" s="116"/>
    </row>
    <row r="200" spans="19:34" ht="15.75" thickBot="1" x14ac:dyDescent="0.3">
      <c r="S200" s="116"/>
      <c r="T200" s="144"/>
      <c r="U200" s="145"/>
      <c r="V200" s="145"/>
      <c r="W200" s="116"/>
      <c r="X200" s="116"/>
      <c r="Y200" s="116"/>
      <c r="Z200" s="146"/>
      <c r="AA200" s="116"/>
      <c r="AB200" s="116"/>
      <c r="AC200" s="116"/>
      <c r="AD200" s="116"/>
      <c r="AE200" s="116"/>
      <c r="AF200" s="116"/>
      <c r="AG200" s="116"/>
      <c r="AH200" s="116"/>
    </row>
    <row r="201" spans="19:34" ht="15.75" thickBot="1" x14ac:dyDescent="0.3">
      <c r="S201" s="116"/>
      <c r="V201" s="162" t="s">
        <v>60</v>
      </c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4"/>
    </row>
    <row r="202" spans="19:34" x14ac:dyDescent="0.25">
      <c r="S202" s="116"/>
      <c r="Y202" s="175" t="s">
        <v>63</v>
      </c>
      <c r="Z202" s="175"/>
      <c r="AA202" s="175"/>
      <c r="AB202" s="175"/>
      <c r="AC202" s="175"/>
      <c r="AD202" s="175"/>
      <c r="AE202" s="175"/>
      <c r="AF202" s="175"/>
      <c r="AG202" s="175"/>
      <c r="AH202" s="175"/>
    </row>
    <row r="203" spans="19:34" ht="17.25" x14ac:dyDescent="0.25">
      <c r="S203" s="116">
        <v>7</v>
      </c>
      <c r="T203" s="70" t="s">
        <v>76</v>
      </c>
      <c r="U203" s="130" t="s">
        <v>77</v>
      </c>
      <c r="V203" s="70" t="s">
        <v>78</v>
      </c>
      <c r="W203" s="70" t="s">
        <v>79</v>
      </c>
      <c r="X203" s="70" t="s">
        <v>80</v>
      </c>
      <c r="Y203" s="131" t="s">
        <v>30</v>
      </c>
      <c r="Z203" s="131" t="s">
        <v>32</v>
      </c>
      <c r="AA203" s="131" t="s">
        <v>81</v>
      </c>
      <c r="AB203" s="131" t="s">
        <v>25</v>
      </c>
      <c r="AC203" s="131" t="s">
        <v>26</v>
      </c>
      <c r="AD203" s="131" t="s">
        <v>27</v>
      </c>
      <c r="AE203" s="131" t="s">
        <v>28</v>
      </c>
      <c r="AF203" s="131" t="s">
        <v>82</v>
      </c>
      <c r="AG203" s="131" t="s">
        <v>29</v>
      </c>
      <c r="AH203" s="132" t="s">
        <v>31</v>
      </c>
    </row>
    <row r="204" spans="19:34" x14ac:dyDescent="0.25">
      <c r="S204" s="116"/>
      <c r="T204" s="70">
        <f>K30</f>
        <v>0.90689208333333338</v>
      </c>
      <c r="U204" s="69">
        <f>+S8*T204</f>
        <v>2.4307494843775869E-5</v>
      </c>
      <c r="V204" s="69">
        <f>$T$204*T204</f>
        <v>0.82245325081267373</v>
      </c>
      <c r="W204" s="69">
        <f>$R$8*R8</f>
        <v>4.2845172623208805E-2</v>
      </c>
      <c r="X204" s="69">
        <f>SQRT(W204)</f>
        <v>0.20699075492207086</v>
      </c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</row>
    <row r="205" spans="19:34" x14ac:dyDescent="0.25">
      <c r="S205" s="116"/>
      <c r="T205" s="70">
        <f>M30</f>
        <v>5.378125000000001E-2</v>
      </c>
      <c r="U205" s="69">
        <f t="shared" ref="U205:U213" si="66">+S9*T205</f>
        <v>2.1801939144286368E-6</v>
      </c>
      <c r="V205" s="69">
        <f t="shared" ref="V205:V213" si="67">$T$204*T205</f>
        <v>4.8773789856770847E-2</v>
      </c>
      <c r="W205" s="69">
        <f t="shared" ref="W205:W213" si="68">$R$8*R9</f>
        <v>0.12918986849197683</v>
      </c>
      <c r="X205" s="69">
        <f t="shared" ref="X205:X213" si="69">SQRT(W205)</f>
        <v>0.35942992153127268</v>
      </c>
      <c r="Y205" s="70">
        <f t="shared" ref="Y205:Y213" si="70">(($T$204*T205)*SQRT($R$8*R9))*(1-B60)</f>
        <v>1.7576339435600531E-2</v>
      </c>
      <c r="Z205" s="70"/>
      <c r="AA205" s="70"/>
      <c r="AB205" s="70"/>
      <c r="AC205" s="70"/>
      <c r="AD205" s="70"/>
      <c r="AE205" s="70"/>
      <c r="AF205" s="70"/>
      <c r="AG205" s="70"/>
      <c r="AH205" s="70"/>
    </row>
    <row r="206" spans="19:34" x14ac:dyDescent="0.25">
      <c r="S206" s="116"/>
      <c r="T206" s="70">
        <f>+E30</f>
        <v>3.9783333333333329E-3</v>
      </c>
      <c r="U206" s="69">
        <f t="shared" si="66"/>
        <v>2.240448962016699E-7</v>
      </c>
      <c r="V206" s="69">
        <f t="shared" si="67"/>
        <v>3.6079190048611109E-3</v>
      </c>
      <c r="W206" s="69">
        <f t="shared" si="68"/>
        <v>0.24193902239770376</v>
      </c>
      <c r="X206" s="69">
        <f t="shared" si="69"/>
        <v>0.49187297384355622</v>
      </c>
      <c r="Y206" s="70">
        <f t="shared" si="70"/>
        <v>1.7497929204034104E-3</v>
      </c>
      <c r="Z206" s="70">
        <f t="shared" ref="Z206:Z213" si="71">(($T$205*T206)*SQRT($R$9*R10))*(1-B61)</f>
        <v>1.8018773075483466E-4</v>
      </c>
      <c r="AA206" s="70"/>
      <c r="AB206" s="70"/>
      <c r="AC206" s="70"/>
      <c r="AD206" s="70"/>
      <c r="AE206" s="70"/>
      <c r="AF206" s="70"/>
      <c r="AG206" s="70"/>
      <c r="AH206" s="70"/>
    </row>
    <row r="207" spans="19:34" x14ac:dyDescent="0.25">
      <c r="S207" s="116"/>
      <c r="T207" s="70">
        <f>+G30</f>
        <v>5.1041666666666683E-4</v>
      </c>
      <c r="U207" s="69">
        <f t="shared" si="66"/>
        <v>3.6976554194526706E-8</v>
      </c>
      <c r="V207" s="69">
        <f t="shared" si="67"/>
        <v>4.6289283420138908E-4</v>
      </c>
      <c r="W207" s="69">
        <f t="shared" si="68"/>
        <v>0.39059496580954223</v>
      </c>
      <c r="X207" s="69">
        <f t="shared" si="69"/>
        <v>0.62497597218576506</v>
      </c>
      <c r="Y207" s="70">
        <f t="shared" si="70"/>
        <v>2.8189089845657268E-4</v>
      </c>
      <c r="Z207" s="70">
        <f t="shared" si="71"/>
        <v>2.9028167116838651E-5</v>
      </c>
      <c r="AA207" s="70">
        <f t="shared" ref="AA207:AA213" si="72">(($T$206*U207)*SQRT($R$10*S11))*(1-C62)</f>
        <v>1.3627178858960773E-12</v>
      </c>
      <c r="AB207" s="70"/>
      <c r="AC207" s="70"/>
      <c r="AD207" s="70"/>
      <c r="AE207" s="70"/>
      <c r="AF207" s="70"/>
      <c r="AG207" s="70"/>
      <c r="AH207" s="70"/>
    </row>
    <row r="208" spans="19:34" x14ac:dyDescent="0.25">
      <c r="S208" s="116"/>
      <c r="T208" s="70">
        <f>+F30</f>
        <v>3.7833333333333344E-4</v>
      </c>
      <c r="U208" s="69">
        <f t="shared" si="66"/>
        <v>2.7418058680305314E-8</v>
      </c>
      <c r="V208" s="69">
        <f t="shared" si="67"/>
        <v>3.4310750486111124E-4</v>
      </c>
      <c r="W208" s="69">
        <f t="shared" si="68"/>
        <v>0.36453710099529019</v>
      </c>
      <c r="X208" s="69">
        <f t="shared" si="69"/>
        <v>0.60376907919774281</v>
      </c>
      <c r="Y208" s="70">
        <f t="shared" si="70"/>
        <v>2.0440250483555968E-4</v>
      </c>
      <c r="Z208" s="70">
        <f t="shared" si="71"/>
        <v>2.1048675576097518E-5</v>
      </c>
      <c r="AA208" s="70">
        <f t="shared" si="72"/>
        <v>9.9427618150999532E-13</v>
      </c>
      <c r="AB208" s="70">
        <f t="shared" ref="AB208:AB213" si="73">(($T$207*V208)*SQRT($R$11*T208))*(1-D63)</f>
        <v>4.663851059929214E-9</v>
      </c>
      <c r="AC208" s="70"/>
      <c r="AD208" s="70"/>
      <c r="AE208" s="70"/>
      <c r="AF208" s="70"/>
      <c r="AG208" s="70"/>
      <c r="AH208" s="70"/>
    </row>
    <row r="209" spans="19:34" x14ac:dyDescent="0.25">
      <c r="S209" s="116"/>
      <c r="T209" s="70">
        <f>+I30</f>
        <v>6.2916666666666687E-5</v>
      </c>
      <c r="U209" s="69">
        <f t="shared" si="66"/>
        <v>5.6724754094320738E-9</v>
      </c>
      <c r="V209" s="69">
        <f t="shared" si="67"/>
        <v>5.7058626909722243E-5</v>
      </c>
      <c r="W209" s="69">
        <f t="shared" si="68"/>
        <v>0.57891172563229198</v>
      </c>
      <c r="X209" s="69">
        <f t="shared" si="69"/>
        <v>0.76086248799128742</v>
      </c>
      <c r="Y209" s="70">
        <f t="shared" si="70"/>
        <v>4.365688593735652E-5</v>
      </c>
      <c r="Z209" s="70">
        <f t="shared" si="71"/>
        <v>4.4956378078506204E-6</v>
      </c>
      <c r="AA209" s="70">
        <f t="shared" si="72"/>
        <v>2.3166196464546308E-13</v>
      </c>
      <c r="AB209" s="70">
        <f t="shared" si="73"/>
        <v>3.1381177803470613E-10</v>
      </c>
      <c r="AC209" s="70">
        <f>(($T$208*W209)*SQRT($R$12*U209))*(1-E64)</f>
        <v>2.1891154061415193E-8</v>
      </c>
      <c r="AD209" s="70"/>
      <c r="AE209" s="70"/>
      <c r="AF209" s="70"/>
      <c r="AG209" s="70"/>
      <c r="AH209" s="70"/>
    </row>
    <row r="210" spans="19:34" x14ac:dyDescent="0.25">
      <c r="S210" s="116"/>
      <c r="T210" s="70">
        <f>+H30</f>
        <v>8.000000000000002E-5</v>
      </c>
      <c r="U210" s="69">
        <f t="shared" si="66"/>
        <v>7.0489569569514789E-9</v>
      </c>
      <c r="V210" s="69">
        <f t="shared" si="67"/>
        <v>7.2551366666666692E-5</v>
      </c>
      <c r="W210" s="69">
        <f t="shared" si="68"/>
        <v>0.54235185847350886</v>
      </c>
      <c r="X210" s="69">
        <f t="shared" si="69"/>
        <v>0.73644542124553181</v>
      </c>
      <c r="Y210" s="70">
        <f t="shared" si="70"/>
        <v>5.2201228985676622E-5</v>
      </c>
      <c r="Z210" s="70">
        <f t="shared" si="71"/>
        <v>5.3755052291410766E-6</v>
      </c>
      <c r="AA210" s="70">
        <f t="shared" si="72"/>
        <v>2.8237105229293955E-13</v>
      </c>
      <c r="AB210" s="70">
        <f t="shared" si="73"/>
        <v>4.4284322838201085E-10</v>
      </c>
      <c r="AC210" s="70">
        <f>(($T$208*W210)*SQRT($R$12*U210))*(1-E65)</f>
        <v>2.2861965357586584E-8</v>
      </c>
      <c r="AD210" s="70">
        <f>(($T$209*X210)*SQRT($R$13*V210))*(1-F65)</f>
        <v>6.6002406359865671E-7</v>
      </c>
      <c r="AE210" s="70"/>
      <c r="AF210" s="70"/>
      <c r="AG210" s="70"/>
      <c r="AH210" s="70"/>
    </row>
    <row r="211" spans="19:34" x14ac:dyDescent="0.25">
      <c r="S211" s="116"/>
      <c r="T211" s="70">
        <f>+D30</f>
        <v>1.4625000000000003E-4</v>
      </c>
      <c r="U211" s="69">
        <f t="shared" si="66"/>
        <v>1.5874803788974217E-8</v>
      </c>
      <c r="V211" s="69">
        <f t="shared" si="67"/>
        <v>1.3263296718750002E-4</v>
      </c>
      <c r="W211" s="69">
        <f t="shared" si="68"/>
        <v>0.8050809492880614</v>
      </c>
      <c r="X211" s="69">
        <f t="shared" si="69"/>
        <v>0.89726303238685889</v>
      </c>
      <c r="Y211" s="70">
        <f t="shared" si="70"/>
        <v>1.1398457735146525E-4</v>
      </c>
      <c r="Z211" s="70">
        <f t="shared" si="71"/>
        <v>1.1737744560810267E-5</v>
      </c>
      <c r="AA211" s="70">
        <f t="shared" si="72"/>
        <v>7.184799294961646E-13</v>
      </c>
      <c r="AB211" s="70">
        <f t="shared" si="73"/>
        <v>1.1238491044530016E-9</v>
      </c>
      <c r="AC211" s="70">
        <f>(($T$208*W211)*SQRT($R$12*U211))*(1-E66)</f>
        <v>5.0928834019023565E-8</v>
      </c>
      <c r="AD211" s="70">
        <f>(($T$209*X211)*SQRT($R$13*V211))*(1-F66)</f>
        <v>1.093370083952529E-6</v>
      </c>
      <c r="AE211" s="70">
        <f>(($T$210*Y211)*SQRT($R$14*W211))*(1-G66)</f>
        <v>1.3244054137274443E-8</v>
      </c>
      <c r="AF211" s="70"/>
      <c r="AG211" s="70"/>
      <c r="AH211" s="70"/>
    </row>
    <row r="212" spans="19:34" x14ac:dyDescent="0.25">
      <c r="S212" s="116"/>
      <c r="T212" s="70">
        <f>+J30</f>
        <v>3.1357916666666666E-2</v>
      </c>
      <c r="U212" s="69">
        <f t="shared" si="66"/>
        <v>7.5291144081403574E-7</v>
      </c>
      <c r="V212" s="69">
        <f t="shared" si="67"/>
        <v>2.8438246374826389E-2</v>
      </c>
      <c r="W212" s="69">
        <f t="shared" si="68"/>
        <v>1.8651528335962096E-2</v>
      </c>
      <c r="X212" s="69">
        <f t="shared" si="69"/>
        <v>0.13657059835836591</v>
      </c>
      <c r="Y212" s="70">
        <f t="shared" si="70"/>
        <v>3.7630412628064497E-3</v>
      </c>
      <c r="Z212" s="70">
        <f t="shared" si="71"/>
        <v>3.875052058877789E-4</v>
      </c>
      <c r="AA212" s="70">
        <f t="shared" si="72"/>
        <v>1.5050753197754099E-11</v>
      </c>
      <c r="AB212" s="70">
        <f t="shared" si="73"/>
        <v>3.2300947560237303E-6</v>
      </c>
      <c r="AC212" s="70">
        <f>(($T$208*W212)*SQRT($R$12*U212))*(1-E67)</f>
        <v>7.2862411815970857E-9</v>
      </c>
      <c r="AD212" s="70">
        <f>(($T$209*X212)*SQRT($R$13*V212))*(1-F67)</f>
        <v>2.2294249142803016E-6</v>
      </c>
      <c r="AE212" s="70">
        <f>(($T$210*Y212)*SQRT($R$14*W212))*(1-G67)</f>
        <v>6.0414536817011029E-8</v>
      </c>
      <c r="AF212" s="70">
        <f>(($T$211*Z212)*SQRT($R$15*X212))*(1-H66)</f>
        <v>4.1304400486930163E-8</v>
      </c>
      <c r="AG212" s="70"/>
      <c r="AH212" s="70"/>
    </row>
    <row r="213" spans="19:34" x14ac:dyDescent="0.25">
      <c r="S213" s="116"/>
      <c r="T213" s="70">
        <f>L30</f>
        <v>2.8170833333333338E-3</v>
      </c>
      <c r="U213" s="69">
        <f t="shared" si="66"/>
        <v>7.5085585019961686E-8</v>
      </c>
      <c r="V213" s="69">
        <f t="shared" si="67"/>
        <v>2.5547905730902783E-3</v>
      </c>
      <c r="W213" s="69">
        <f t="shared" si="68"/>
        <v>8.5334097849090448E-2</v>
      </c>
      <c r="X213" s="69">
        <f t="shared" si="69"/>
        <v>0.29212000590355064</v>
      </c>
      <c r="Y213" s="70">
        <f t="shared" si="70"/>
        <v>6.7771996760619799E-4</v>
      </c>
      <c r="Z213" s="70">
        <f t="shared" si="71"/>
        <v>6.9789299994451405E-5</v>
      </c>
      <c r="AA213" s="70">
        <f t="shared" si="72"/>
        <v>1.4468826439375411E-12</v>
      </c>
      <c r="AB213" s="70">
        <f t="shared" si="73"/>
        <v>8.327648234240379E-8</v>
      </c>
      <c r="AC213" s="70">
        <f>(($T$208*W213)*SQRT($R$12*U213))*(1-E68)</f>
        <v>1.033126635428394E-8</v>
      </c>
      <c r="AD213" s="70">
        <f>(($T$209*X213)*SQRT($R$13*V213))*(1-F68)</f>
        <v>1.3464931681041488E-6</v>
      </c>
      <c r="AE213" s="70">
        <f>(($T$210*Y213)*SQRT($R$14*W213))*(1-G68)</f>
        <v>2.0022472005946387E-8</v>
      </c>
      <c r="AF213" s="70">
        <f>(($T$211*Z213)*SQRT($R$15*X213))*(1-H67)</f>
        <v>9.7915664953820641E-9</v>
      </c>
      <c r="AG213" s="70">
        <f>(($T$212*AA213)*SQRT($R$16*Y213))*(1-I68)</f>
        <v>3.1555669154541786E-16</v>
      </c>
      <c r="AH213" s="70"/>
    </row>
    <row r="214" spans="19:34" x14ac:dyDescent="0.25">
      <c r="S214" s="116"/>
      <c r="T214" s="130" t="s">
        <v>77</v>
      </c>
      <c r="U214" s="133">
        <f>SUM(U204:U213)</f>
        <v>2.7632721529270361E-5</v>
      </c>
      <c r="V214" s="108"/>
      <c r="W214" s="108"/>
      <c r="X214" s="108"/>
      <c r="Y214" s="70">
        <f>SUM(Y205:Y213)</f>
        <v>2.4463029681983217E-2</v>
      </c>
      <c r="Z214" s="70">
        <f t="shared" ref="Z214:AG214" si="74">SUM(Z205:Z213)</f>
        <v>7.0916796692780315E-4</v>
      </c>
      <c r="AA214" s="70">
        <f t="shared" si="74"/>
        <v>2.0087142855532283E-11</v>
      </c>
      <c r="AB214" s="70">
        <f t="shared" si="74"/>
        <v>3.3199155935369332E-6</v>
      </c>
      <c r="AC214" s="70">
        <f t="shared" si="74"/>
        <v>1.1329946097390637E-7</v>
      </c>
      <c r="AD214" s="70">
        <f t="shared" si="74"/>
        <v>5.3293122299356361E-6</v>
      </c>
      <c r="AE214" s="70">
        <f t="shared" si="74"/>
        <v>9.368106296023185E-8</v>
      </c>
      <c r="AF214" s="70">
        <f t="shared" si="74"/>
        <v>5.1095966982312227E-8</v>
      </c>
      <c r="AG214" s="70">
        <f t="shared" si="74"/>
        <v>3.1555669154541786E-16</v>
      </c>
      <c r="AH214" s="130">
        <f>SUM(Y214:AG214)</f>
        <v>2.5181104973312864E-2</v>
      </c>
    </row>
    <row r="215" spans="19:34" x14ac:dyDescent="0.25">
      <c r="S215" s="116"/>
    </row>
    <row r="216" spans="19:34" x14ac:dyDescent="0.25">
      <c r="S216" s="116"/>
      <c r="T216" s="112" t="s">
        <v>99</v>
      </c>
      <c r="U216" s="108"/>
      <c r="V216" s="108"/>
      <c r="W216" s="108"/>
      <c r="X216" s="108"/>
      <c r="Y216" s="108"/>
      <c r="Z216" s="108"/>
      <c r="AA216" s="108"/>
      <c r="AB216" s="108"/>
    </row>
    <row r="217" spans="19:34" x14ac:dyDescent="0.25">
      <c r="S217" s="116"/>
      <c r="T217" s="137" t="s">
        <v>100</v>
      </c>
      <c r="U217" s="138">
        <f>+AH214</f>
        <v>2.5181104973312864E-2</v>
      </c>
      <c r="V217" s="138" t="s">
        <v>101</v>
      </c>
      <c r="W217" s="139"/>
      <c r="X217" s="108"/>
      <c r="Y217" s="108"/>
      <c r="Z217" s="108"/>
      <c r="AA217" s="108"/>
      <c r="AB217" s="108"/>
    </row>
    <row r="218" spans="19:34" x14ac:dyDescent="0.25">
      <c r="S218" s="116"/>
      <c r="T218" s="137" t="s">
        <v>103</v>
      </c>
      <c r="U218" s="138">
        <f>+U214</f>
        <v>2.7632721529270361E-5</v>
      </c>
      <c r="V218" s="138" t="s">
        <v>101</v>
      </c>
      <c r="W218" s="108"/>
      <c r="X218" s="108"/>
      <c r="Y218" s="108"/>
      <c r="Z218" s="140" t="e">
        <f>(U222*U222)+(2*U218*U222)-(U218*U218)</f>
        <v>#DIV/0!</v>
      </c>
      <c r="AA218" s="108"/>
      <c r="AB218" s="108"/>
    </row>
    <row r="219" spans="19:34" x14ac:dyDescent="0.25">
      <c r="S219" s="116"/>
      <c r="T219" s="137" t="s">
        <v>104</v>
      </c>
      <c r="U219" s="138">
        <v>8.3145100000000003</v>
      </c>
      <c r="V219" s="138" t="s">
        <v>105</v>
      </c>
      <c r="W219" s="108"/>
      <c r="X219" s="108"/>
      <c r="Y219" s="108"/>
      <c r="Z219" s="140"/>
      <c r="AA219" s="108"/>
      <c r="AB219" s="108"/>
    </row>
    <row r="220" spans="19:34" x14ac:dyDescent="0.25">
      <c r="S220" s="116"/>
      <c r="T220" s="137" t="s">
        <v>106</v>
      </c>
      <c r="U220" s="141">
        <f>B30*98066.5</f>
        <v>0</v>
      </c>
      <c r="V220" s="142" t="s">
        <v>107</v>
      </c>
      <c r="W220" s="108"/>
      <c r="X220" s="108"/>
      <c r="Y220" s="108"/>
      <c r="Z220" s="140" t="e">
        <f>U217/Z218</f>
        <v>#DIV/0!</v>
      </c>
      <c r="AA220" s="108"/>
      <c r="AB220" s="108"/>
    </row>
    <row r="221" spans="19:34" x14ac:dyDescent="0.25">
      <c r="S221" s="116"/>
      <c r="T221" s="137" t="s">
        <v>108</v>
      </c>
      <c r="U221" s="141" t="s">
        <v>109</v>
      </c>
      <c r="V221" s="138" t="s">
        <v>110</v>
      </c>
      <c r="W221" s="108"/>
      <c r="X221" s="108"/>
      <c r="Y221" s="108"/>
      <c r="Z221" s="140"/>
      <c r="AA221" s="108"/>
      <c r="AB221" s="108"/>
    </row>
    <row r="222" spans="19:34" x14ac:dyDescent="0.25">
      <c r="S222" s="116"/>
      <c r="T222" s="137" t="s">
        <v>112</v>
      </c>
      <c r="U222" s="138" t="e">
        <f>+U230</f>
        <v>#DIV/0!</v>
      </c>
      <c r="V222" s="138" t="s">
        <v>113</v>
      </c>
      <c r="W222" s="108"/>
      <c r="X222" s="108"/>
      <c r="Y222" s="108"/>
      <c r="Z222" s="140" t="e">
        <f>U222-U218</f>
        <v>#DIV/0!</v>
      </c>
      <c r="AA222" s="108"/>
      <c r="AB222" s="108"/>
    </row>
    <row r="223" spans="19:34" x14ac:dyDescent="0.25">
      <c r="S223" s="116"/>
      <c r="T223" s="108"/>
      <c r="U223" s="108"/>
      <c r="V223" s="108"/>
      <c r="W223" s="108"/>
      <c r="X223" s="108"/>
      <c r="Y223" s="108"/>
      <c r="Z223" s="108"/>
      <c r="AA223" s="108"/>
      <c r="AB223" s="108"/>
    </row>
    <row r="224" spans="19:34" x14ac:dyDescent="0.25">
      <c r="S224" s="116"/>
      <c r="T224" s="108"/>
      <c r="U224" s="108"/>
      <c r="V224" s="108"/>
      <c r="W224" s="108"/>
      <c r="X224" s="108"/>
      <c r="Y224" s="108"/>
      <c r="Z224" s="108"/>
      <c r="AA224" s="108"/>
      <c r="AB224" s="108"/>
    </row>
    <row r="225" spans="19:34" x14ac:dyDescent="0.25">
      <c r="S225" s="116"/>
      <c r="T225" s="108"/>
      <c r="U225" s="108"/>
      <c r="V225" s="108"/>
      <c r="W225" s="108"/>
      <c r="X225" s="108"/>
      <c r="Y225" s="108"/>
      <c r="Z225" s="108"/>
      <c r="AA225" s="108"/>
      <c r="AB225" s="108"/>
    </row>
    <row r="226" spans="19:34" x14ac:dyDescent="0.25">
      <c r="S226" s="116"/>
      <c r="T226" s="108" t="s">
        <v>116</v>
      </c>
      <c r="U226" s="108">
        <v>0.98</v>
      </c>
      <c r="V226" s="108"/>
      <c r="W226" s="108"/>
      <c r="X226" s="108"/>
      <c r="Y226" s="108"/>
      <c r="Z226" s="108"/>
      <c r="AA226" s="108"/>
      <c r="AB226" s="108"/>
    </row>
    <row r="227" spans="19:34" x14ac:dyDescent="0.25">
      <c r="S227" s="116"/>
      <c r="T227" s="108" t="s">
        <v>106</v>
      </c>
      <c r="U227" s="143">
        <f>U220</f>
        <v>0</v>
      </c>
      <c r="V227" s="108" t="s">
        <v>117</v>
      </c>
      <c r="W227" s="108"/>
      <c r="X227" s="108"/>
      <c r="Y227" s="108"/>
      <c r="Z227" s="108"/>
      <c r="AA227" s="108"/>
      <c r="AB227" s="108"/>
    </row>
    <row r="228" spans="19:34" x14ac:dyDescent="0.25">
      <c r="S228" s="116"/>
      <c r="T228" s="108" t="s">
        <v>118</v>
      </c>
      <c r="U228" s="143">
        <f>C30+273.15</f>
        <v>273.14999999999998</v>
      </c>
      <c r="V228" s="108" t="s">
        <v>49</v>
      </c>
      <c r="W228" s="108"/>
      <c r="X228" s="108"/>
      <c r="Y228" s="108"/>
      <c r="Z228" s="108"/>
      <c r="AA228" s="108"/>
      <c r="AB228" s="108"/>
    </row>
    <row r="229" spans="19:34" x14ac:dyDescent="0.25">
      <c r="S229" s="116"/>
      <c r="T229" s="108"/>
      <c r="U229" s="108"/>
      <c r="V229" s="108"/>
      <c r="W229" s="108"/>
      <c r="X229" s="108"/>
      <c r="Y229" s="108"/>
      <c r="Z229" s="108"/>
      <c r="AA229" s="108"/>
      <c r="AB229" s="108"/>
    </row>
    <row r="230" spans="19:34" x14ac:dyDescent="0.25">
      <c r="S230" s="116"/>
      <c r="T230" s="108" t="s">
        <v>121</v>
      </c>
      <c r="U230" s="108" t="e">
        <f>(0.98*U219*U228)/U227</f>
        <v>#DIV/0!</v>
      </c>
      <c r="V230" s="108" t="s">
        <v>113</v>
      </c>
      <c r="W230" s="108"/>
      <c r="X230" s="108"/>
      <c r="Y230" s="108"/>
      <c r="Z230" s="108"/>
      <c r="AA230" s="108"/>
      <c r="AB230" s="108"/>
    </row>
    <row r="231" spans="19:34" x14ac:dyDescent="0.25"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</row>
    <row r="232" spans="19:34" ht="15.75" thickBot="1" x14ac:dyDescent="0.3"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</row>
    <row r="233" spans="19:34" ht="15.75" thickBot="1" x14ac:dyDescent="0.3">
      <c r="S233" s="116"/>
      <c r="V233" s="162" t="s">
        <v>60</v>
      </c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4"/>
    </row>
    <row r="234" spans="19:34" x14ac:dyDescent="0.25">
      <c r="S234" s="116"/>
      <c r="Y234" s="175" t="s">
        <v>63</v>
      </c>
      <c r="Z234" s="175"/>
      <c r="AA234" s="175"/>
      <c r="AB234" s="175"/>
      <c r="AC234" s="175"/>
      <c r="AD234" s="175"/>
      <c r="AE234" s="175"/>
      <c r="AF234" s="175"/>
      <c r="AG234" s="175"/>
      <c r="AH234" s="175"/>
    </row>
    <row r="235" spans="19:34" ht="17.25" x14ac:dyDescent="0.25">
      <c r="S235" s="116">
        <v>8</v>
      </c>
      <c r="T235" s="70" t="s">
        <v>76</v>
      </c>
      <c r="U235" s="130" t="s">
        <v>77</v>
      </c>
      <c r="V235" s="70" t="s">
        <v>78</v>
      </c>
      <c r="W235" s="70" t="s">
        <v>79</v>
      </c>
      <c r="X235" s="70" t="s">
        <v>80</v>
      </c>
      <c r="Y235" s="131" t="s">
        <v>30</v>
      </c>
      <c r="Z235" s="131" t="s">
        <v>32</v>
      </c>
      <c r="AA235" s="131" t="s">
        <v>81</v>
      </c>
      <c r="AB235" s="131" t="s">
        <v>25</v>
      </c>
      <c r="AC235" s="131" t="s">
        <v>26</v>
      </c>
      <c r="AD235" s="131" t="s">
        <v>27</v>
      </c>
      <c r="AE235" s="131" t="s">
        <v>28</v>
      </c>
      <c r="AF235" s="131" t="s">
        <v>82</v>
      </c>
      <c r="AG235" s="131" t="s">
        <v>29</v>
      </c>
      <c r="AH235" s="132" t="s">
        <v>31</v>
      </c>
    </row>
    <row r="236" spans="19:34" x14ac:dyDescent="0.25">
      <c r="S236" s="116"/>
      <c r="T236" s="70">
        <f>K31</f>
        <v>0.90562124999999993</v>
      </c>
      <c r="U236" s="69">
        <f>+S8*T236</f>
        <v>2.4273432604988032E-5</v>
      </c>
      <c r="V236" s="69">
        <f>$T$236*T236</f>
        <v>0.82014984845156236</v>
      </c>
      <c r="W236" s="69">
        <f>$R$8*R8</f>
        <v>4.2845172623208805E-2</v>
      </c>
      <c r="X236" s="69">
        <f>SQRT(W236)</f>
        <v>0.20699075492207086</v>
      </c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</row>
    <row r="237" spans="19:34" x14ac:dyDescent="0.25">
      <c r="S237" s="116"/>
      <c r="T237" s="70">
        <f>M31</f>
        <v>5.3909166666666654E-2</v>
      </c>
      <c r="U237" s="69">
        <f t="shared" ref="U237:U245" si="75">+S9*T237</f>
        <v>2.1853794230997931E-6</v>
      </c>
      <c r="V237" s="69">
        <f t="shared" ref="V237:V245" si="76">$T$236*T237</f>
        <v>4.8821286903124983E-2</v>
      </c>
      <c r="W237" s="69">
        <f t="shared" ref="W237:W245" si="77">$R$8*R9</f>
        <v>0.12918986849197683</v>
      </c>
      <c r="X237" s="69">
        <f t="shared" ref="X237:X245" si="78">SQRT(W237)</f>
        <v>0.35942992153127268</v>
      </c>
      <c r="Y237" s="70">
        <f t="shared" ref="Y237:Y245" si="79">(($T$236*T237)*SQRT($R$8*R9))*(1-B60)</f>
        <v>1.7593455682079644E-2</v>
      </c>
      <c r="Z237" s="70"/>
      <c r="AA237" s="70"/>
      <c r="AB237" s="70"/>
      <c r="AC237" s="70"/>
      <c r="AD237" s="70"/>
      <c r="AE237" s="70"/>
      <c r="AF237" s="70"/>
      <c r="AG237" s="70"/>
      <c r="AH237" s="70"/>
    </row>
    <row r="238" spans="19:34" x14ac:dyDescent="0.25">
      <c r="S238" s="116"/>
      <c r="T238" s="70">
        <f>+E31</f>
        <v>4.5520833333333342E-3</v>
      </c>
      <c r="U238" s="69">
        <f t="shared" si="75"/>
        <v>2.563563564100591E-7</v>
      </c>
      <c r="V238" s="69">
        <f t="shared" si="76"/>
        <v>4.1224633984375007E-3</v>
      </c>
      <c r="W238" s="69">
        <f t="shared" si="77"/>
        <v>0.24193902239770376</v>
      </c>
      <c r="X238" s="69">
        <f t="shared" si="78"/>
        <v>0.49187297384355622</v>
      </c>
      <c r="Y238" s="70">
        <f t="shared" si="79"/>
        <v>1.999340134711757E-3</v>
      </c>
      <c r="Z238" s="70">
        <f t="shared" ref="Z238:Z245" si="80">(($T$237*T238)*SQRT($R$9*R10))*(1-B61)</f>
        <v>2.0666454570706166E-4</v>
      </c>
      <c r="AA238" s="70"/>
      <c r="AB238" s="70"/>
      <c r="AC238" s="70"/>
      <c r="AD238" s="70"/>
      <c r="AE238" s="70"/>
      <c r="AF238" s="70"/>
      <c r="AG238" s="70"/>
      <c r="AH238" s="70"/>
    </row>
    <row r="239" spans="19:34" x14ac:dyDescent="0.25">
      <c r="S239" s="116"/>
      <c r="T239" s="70">
        <f>+G31</f>
        <v>4.9875000000000006E-4</v>
      </c>
      <c r="U239" s="69">
        <f t="shared" si="75"/>
        <v>3.6131375812937513E-8</v>
      </c>
      <c r="V239" s="69">
        <f t="shared" si="76"/>
        <v>4.5167859843750003E-4</v>
      </c>
      <c r="W239" s="69">
        <f t="shared" si="77"/>
        <v>0.39059496580954223</v>
      </c>
      <c r="X239" s="69">
        <f t="shared" si="78"/>
        <v>0.62497597218576506</v>
      </c>
      <c r="Y239" s="70">
        <f t="shared" si="79"/>
        <v>2.7506169143192647E-4</v>
      </c>
      <c r="Z239" s="70">
        <f t="shared" si="80"/>
        <v>2.8432130438571133E-5</v>
      </c>
      <c r="AA239" s="70">
        <f t="shared" ref="AA239:AA245" si="81">(($T$238*U239)*SQRT($R$10*S11))*(1-C62)</f>
        <v>1.5236073292739866E-12</v>
      </c>
      <c r="AB239" s="70"/>
      <c r="AC239" s="70"/>
      <c r="AD239" s="70"/>
      <c r="AE239" s="70"/>
      <c r="AF239" s="70"/>
      <c r="AG239" s="70"/>
      <c r="AH239" s="70"/>
    </row>
    <row r="240" spans="19:34" x14ac:dyDescent="0.25">
      <c r="S240" s="116"/>
      <c r="T240" s="70">
        <f>+F31</f>
        <v>3.729166666666668E-4</v>
      </c>
      <c r="U240" s="69">
        <f t="shared" si="75"/>
        <v>2.7025509382019005E-8</v>
      </c>
      <c r="V240" s="69">
        <f t="shared" si="76"/>
        <v>3.3772125781250011E-4</v>
      </c>
      <c r="W240" s="69">
        <f t="shared" si="77"/>
        <v>0.36453710099529019</v>
      </c>
      <c r="X240" s="69">
        <f t="shared" si="78"/>
        <v>0.60376907919774281</v>
      </c>
      <c r="Y240" s="70">
        <f t="shared" si="79"/>
        <v>2.0119370767198577E-4</v>
      </c>
      <c r="Z240" s="70">
        <f t="shared" si="80"/>
        <v>2.0796664596114251E-5</v>
      </c>
      <c r="AA240" s="70">
        <f t="shared" si="81"/>
        <v>1.1213811664183714E-12</v>
      </c>
      <c r="AB240" s="70">
        <f t="shared" ref="AB240:AB245" si="82">(($T$239*V240)*SQRT($R$11*T240))*(1-D63)</f>
        <v>4.4534800216254296E-9</v>
      </c>
      <c r="AC240" s="70"/>
      <c r="AD240" s="70"/>
      <c r="AE240" s="70"/>
      <c r="AF240" s="70"/>
      <c r="AG240" s="70"/>
      <c r="AH240" s="70"/>
    </row>
    <row r="241" spans="19:34" x14ac:dyDescent="0.25">
      <c r="S241" s="116"/>
      <c r="T241" s="70">
        <f>+I31</f>
        <v>6.4583333333333363E-5</v>
      </c>
      <c r="U241" s="69">
        <f t="shared" si="75"/>
        <v>5.8227396586885529E-9</v>
      </c>
      <c r="V241" s="69">
        <f t="shared" si="76"/>
        <v>5.848803906250002E-5</v>
      </c>
      <c r="W241" s="69">
        <f t="shared" si="77"/>
        <v>0.57891172563229198</v>
      </c>
      <c r="X241" s="69">
        <f t="shared" si="78"/>
        <v>0.76086248799128742</v>
      </c>
      <c r="Y241" s="70">
        <f t="shared" si="79"/>
        <v>4.4750562506370791E-5</v>
      </c>
      <c r="Z241" s="70">
        <f t="shared" si="80"/>
        <v>4.6257035058458987E-6</v>
      </c>
      <c r="AA241" s="70">
        <f t="shared" si="81"/>
        <v>2.7209372191361544E-13</v>
      </c>
      <c r="AB241" s="70">
        <f t="shared" si="82"/>
        <v>3.1845672265221698E-10</v>
      </c>
      <c r="AC241" s="70">
        <f>(($T$240*W241)*SQRT($R$12*U241))*(1-E64)</f>
        <v>2.1861664222828884E-8</v>
      </c>
      <c r="AD241" s="70"/>
      <c r="AE241" s="70"/>
      <c r="AF241" s="70"/>
      <c r="AG241" s="70"/>
      <c r="AH241" s="70"/>
    </row>
    <row r="242" spans="19:34" x14ac:dyDescent="0.25">
      <c r="S242" s="116"/>
      <c r="T242" s="70">
        <f>+H31</f>
        <v>8.1666666666666696E-5</v>
      </c>
      <c r="U242" s="69">
        <f t="shared" si="75"/>
        <v>7.1958102268879693E-9</v>
      </c>
      <c r="V242" s="69">
        <f t="shared" si="76"/>
        <v>7.3959068750000025E-5</v>
      </c>
      <c r="W242" s="69">
        <f t="shared" si="77"/>
        <v>0.54235185847350886</v>
      </c>
      <c r="X242" s="69">
        <f t="shared" si="78"/>
        <v>0.73644542124553181</v>
      </c>
      <c r="Y242" s="70">
        <f t="shared" si="79"/>
        <v>5.3214080737089034E-5</v>
      </c>
      <c r="Z242" s="70">
        <f t="shared" si="80"/>
        <v>5.5005467202982439E-6</v>
      </c>
      <c r="AA242" s="70">
        <f t="shared" si="81"/>
        <v>3.2982536388230945E-13</v>
      </c>
      <c r="AB242" s="70">
        <f t="shared" si="82"/>
        <v>4.4568839671158566E-10</v>
      </c>
      <c r="AC242" s="70">
        <f>(($T$240*W242)*SQRT($R$12*U242))*(1-E65)</f>
        <v>2.2768172360019771E-8</v>
      </c>
      <c r="AD242" s="70">
        <f>(($T$241*X242)*SQRT($R$13*V242))*(1-F65)</f>
        <v>6.8404935652200188E-7</v>
      </c>
      <c r="AE242" s="70"/>
      <c r="AF242" s="70"/>
      <c r="AG242" s="70"/>
      <c r="AH242" s="70"/>
    </row>
    <row r="243" spans="19:34" x14ac:dyDescent="0.25">
      <c r="S243" s="116"/>
      <c r="T243" s="70">
        <f>+D31</f>
        <v>1.5041666666666673E-4</v>
      </c>
      <c r="U243" s="69">
        <f t="shared" si="75"/>
        <v>1.6327077401195709E-8</v>
      </c>
      <c r="V243" s="69">
        <f t="shared" si="76"/>
        <v>1.3622052968750005E-4</v>
      </c>
      <c r="W243" s="69">
        <f t="shared" si="77"/>
        <v>0.8050809492880614</v>
      </c>
      <c r="X243" s="69">
        <f t="shared" si="78"/>
        <v>0.89726303238685889</v>
      </c>
      <c r="Y243" s="70">
        <f t="shared" si="79"/>
        <v>1.1706772329893074E-4</v>
      </c>
      <c r="Z243" s="70">
        <f t="shared" si="80"/>
        <v>1.2100866397113322E-5</v>
      </c>
      <c r="AA243" s="70">
        <f t="shared" si="81"/>
        <v>8.4551975979163102E-13</v>
      </c>
      <c r="AB243" s="70">
        <f t="shared" si="82"/>
        <v>1.1438186868341102E-9</v>
      </c>
      <c r="AC243" s="70">
        <f>(($T$240*W243)*SQRT($R$12*U243))*(1-E66)</f>
        <v>5.0909749830520516E-8</v>
      </c>
      <c r="AD243" s="70">
        <f>(($T$241*X243)*SQRT($R$13*V243))*(1-F66)</f>
        <v>1.1374111395217246E-6</v>
      </c>
      <c r="AE243" s="70">
        <f>(($T$242*Y243)*SQRT($R$14*W243))*(1-G66)</f>
        <v>1.3885670938104707E-8</v>
      </c>
      <c r="AF243" s="70"/>
      <c r="AG243" s="70"/>
      <c r="AH243" s="70"/>
    </row>
    <row r="244" spans="19:34" x14ac:dyDescent="0.25">
      <c r="S244" s="116"/>
      <c r="T244" s="70">
        <f>+J31</f>
        <v>3.190875E-2</v>
      </c>
      <c r="U244" s="69">
        <f t="shared" si="75"/>
        <v>7.6613708724510923E-7</v>
      </c>
      <c r="V244" s="69">
        <f t="shared" si="76"/>
        <v>2.8897242060937498E-2</v>
      </c>
      <c r="W244" s="69">
        <f t="shared" si="77"/>
        <v>1.8651528335962096E-2</v>
      </c>
      <c r="X244" s="69">
        <f t="shared" si="78"/>
        <v>0.13657059835836591</v>
      </c>
      <c r="Y244" s="70">
        <f t="shared" si="79"/>
        <v>3.823777064990624E-3</v>
      </c>
      <c r="Z244" s="70">
        <f t="shared" si="80"/>
        <v>3.9524998088196568E-4</v>
      </c>
      <c r="AA244" s="70">
        <f t="shared" si="81"/>
        <v>1.7523863405435774E-11</v>
      </c>
      <c r="AB244" s="70">
        <f t="shared" si="82"/>
        <v>3.2352526584884417E-6</v>
      </c>
      <c r="AC244" s="70">
        <f>(($T$240*W244)*SQRT($R$12*U244))*(1-E67)</f>
        <v>7.244726993232361E-9</v>
      </c>
      <c r="AD244" s="70">
        <f>(($T$241*X244)*SQRT($R$13*V244))*(1-F67)</f>
        <v>2.3068767540545951E-6</v>
      </c>
      <c r="AE244" s="70">
        <f>(($T$242*Y244)*SQRT($R$14*W244))*(1-G67)</f>
        <v>6.2668583195230427E-8</v>
      </c>
      <c r="AF244" s="70">
        <f>(($T$243*Z244)*SQRT($R$15*X244))*(1-H67)</f>
        <v>3.8997182786948109E-8</v>
      </c>
      <c r="AG244" s="70"/>
      <c r="AH244" s="70"/>
    </row>
    <row r="245" spans="19:34" x14ac:dyDescent="0.25">
      <c r="S245" s="116"/>
      <c r="T245" s="70">
        <f>L31</f>
        <v>2.8420833333333336E-3</v>
      </c>
      <c r="U245" s="69">
        <f t="shared" si="75"/>
        <v>7.5751926552456539E-8</v>
      </c>
      <c r="V245" s="69">
        <f t="shared" si="76"/>
        <v>2.5738510609375001E-3</v>
      </c>
      <c r="W245" s="69">
        <f t="shared" si="77"/>
        <v>8.5334097849090448E-2</v>
      </c>
      <c r="X245" s="69">
        <f t="shared" si="78"/>
        <v>0.29212000590355064</v>
      </c>
      <c r="Y245" s="70">
        <f t="shared" si="79"/>
        <v>6.8277622283996931E-4</v>
      </c>
      <c r="Z245" s="70">
        <f t="shared" si="80"/>
        <v>7.0576104317111993E-5</v>
      </c>
      <c r="AA245" s="70">
        <f t="shared" si="81"/>
        <v>1.6702422143000175E-12</v>
      </c>
      <c r="AB245" s="70">
        <f t="shared" si="82"/>
        <v>8.2343078158054909E-8</v>
      </c>
      <c r="AC245" s="70">
        <f>(($T$240*W245)*SQRT($R$12*U245))*(1-E68)</f>
        <v>1.0228437646094532E-8</v>
      </c>
      <c r="AD245" s="70">
        <f>(($T$241*X245)*SQRT($R$13*V245))*(1-F68)</f>
        <v>1.3873082174713799E-6</v>
      </c>
      <c r="AE245" s="70">
        <f>(($T$242*Y245)*SQRT($R$14*W245))*(1-G68)</f>
        <v>2.0592100308679719E-8</v>
      </c>
      <c r="AF245" s="70">
        <f>(($T$243*Z245)*SQRT($R$15*X245))*(1-H68)</f>
        <v>9.9328567044279782E-9</v>
      </c>
      <c r="AG245" s="70">
        <f>(($T$244*AA245)*SQRT($R$16*Y245))*(1-I68)</f>
        <v>3.7204903836486107E-16</v>
      </c>
      <c r="AH245" s="70"/>
    </row>
    <row r="246" spans="19:34" x14ac:dyDescent="0.25">
      <c r="S246" s="116"/>
      <c r="T246" s="130" t="s">
        <v>77</v>
      </c>
      <c r="U246" s="133">
        <f>SUM(U236:U245)</f>
        <v>2.7649559910777179E-5</v>
      </c>
      <c r="V246" s="108"/>
      <c r="W246" s="108"/>
      <c r="X246" s="108"/>
      <c r="Y246" s="70">
        <f>SUM(Y237:Y245)</f>
        <v>2.4790636870268296E-2</v>
      </c>
      <c r="Z246" s="70">
        <f t="shared" ref="Z246:AG246" si="83">SUM(Z237:Z245)</f>
        <v>7.4394654256408209E-4</v>
      </c>
      <c r="AA246" s="70">
        <f t="shared" si="83"/>
        <v>2.3286532961015705E-11</v>
      </c>
      <c r="AB246" s="70">
        <f t="shared" si="83"/>
        <v>3.3239571804743198E-6</v>
      </c>
      <c r="AC246" s="70">
        <f t="shared" si="83"/>
        <v>1.1301275105269607E-7</v>
      </c>
      <c r="AD246" s="70">
        <f t="shared" si="83"/>
        <v>5.5156454675697009E-6</v>
      </c>
      <c r="AE246" s="70">
        <f t="shared" si="83"/>
        <v>9.7146354442014855E-8</v>
      </c>
      <c r="AF246" s="70">
        <f t="shared" si="83"/>
        <v>4.8930039491376086E-8</v>
      </c>
      <c r="AG246" s="70">
        <f t="shared" si="83"/>
        <v>3.7204903836486107E-16</v>
      </c>
      <c r="AH246" s="130">
        <f>SUM(Y246:AG246)</f>
        <v>2.5543682127912314E-2</v>
      </c>
    </row>
    <row r="247" spans="19:34" x14ac:dyDescent="0.25">
      <c r="S247" s="116"/>
    </row>
    <row r="248" spans="19:34" x14ac:dyDescent="0.25">
      <c r="S248" s="116"/>
      <c r="T248" s="112" t="s">
        <v>99</v>
      </c>
      <c r="U248" s="108"/>
      <c r="V248" s="108"/>
      <c r="W248" s="108"/>
      <c r="X248" s="108"/>
      <c r="Y248" s="108"/>
      <c r="Z248" s="108"/>
      <c r="AA248" s="108"/>
      <c r="AB248" s="108"/>
    </row>
    <row r="249" spans="19:34" x14ac:dyDescent="0.25">
      <c r="S249" s="116"/>
      <c r="T249" s="137" t="s">
        <v>100</v>
      </c>
      <c r="U249" s="138">
        <f>+AH246</f>
        <v>2.5543682127912314E-2</v>
      </c>
      <c r="V249" s="138" t="s">
        <v>101</v>
      </c>
      <c r="W249" s="139"/>
      <c r="X249" s="108"/>
      <c r="Y249" s="108"/>
      <c r="Z249" s="108"/>
      <c r="AA249" s="108"/>
      <c r="AB249" s="108"/>
    </row>
    <row r="250" spans="19:34" x14ac:dyDescent="0.25">
      <c r="S250" s="116"/>
      <c r="T250" s="137" t="s">
        <v>103</v>
      </c>
      <c r="U250" s="138">
        <f>+U246</f>
        <v>2.7649559910777179E-5</v>
      </c>
      <c r="V250" s="138" t="s">
        <v>101</v>
      </c>
      <c r="W250" s="108"/>
      <c r="X250" s="108"/>
      <c r="Y250" s="108"/>
      <c r="Z250" s="140" t="e">
        <f>(U254*U254)+(2*U250*U254)-(U250*U250)</f>
        <v>#DIV/0!</v>
      </c>
      <c r="AA250" s="108"/>
      <c r="AB250" s="108"/>
    </row>
    <row r="251" spans="19:34" x14ac:dyDescent="0.25">
      <c r="S251" s="116"/>
      <c r="T251" s="137" t="s">
        <v>104</v>
      </c>
      <c r="U251" s="138">
        <v>8.3145100000000003</v>
      </c>
      <c r="V251" s="138" t="s">
        <v>105</v>
      </c>
      <c r="W251" s="108"/>
      <c r="X251" s="108"/>
      <c r="Y251" s="108"/>
      <c r="Z251" s="140"/>
      <c r="AA251" s="108"/>
      <c r="AB251" s="108"/>
    </row>
    <row r="252" spans="19:34" x14ac:dyDescent="0.25">
      <c r="S252" s="116"/>
      <c r="T252" s="137" t="s">
        <v>106</v>
      </c>
      <c r="U252" s="141">
        <f>B31*98066.5</f>
        <v>0</v>
      </c>
      <c r="V252" s="142" t="s">
        <v>107</v>
      </c>
      <c r="W252" s="108"/>
      <c r="X252" s="108"/>
      <c r="Y252" s="108"/>
      <c r="Z252" s="140" t="e">
        <f>U249/Z250</f>
        <v>#DIV/0!</v>
      </c>
      <c r="AA252" s="108"/>
      <c r="AB252" s="108"/>
    </row>
    <row r="253" spans="19:34" x14ac:dyDescent="0.25">
      <c r="S253" s="116"/>
      <c r="T253" s="137" t="s">
        <v>108</v>
      </c>
      <c r="U253" s="141" t="s">
        <v>109</v>
      </c>
      <c r="V253" s="138" t="s">
        <v>110</v>
      </c>
      <c r="W253" s="108"/>
      <c r="X253" s="108"/>
      <c r="Y253" s="108"/>
      <c r="Z253" s="140"/>
      <c r="AA253" s="108"/>
      <c r="AB253" s="108"/>
    </row>
    <row r="254" spans="19:34" x14ac:dyDescent="0.25">
      <c r="S254" s="116"/>
      <c r="T254" s="137" t="s">
        <v>112</v>
      </c>
      <c r="U254" s="138" t="e">
        <f>+U262</f>
        <v>#DIV/0!</v>
      </c>
      <c r="V254" s="138" t="s">
        <v>113</v>
      </c>
      <c r="W254" s="108"/>
      <c r="X254" s="108"/>
      <c r="Y254" s="108"/>
      <c r="Z254" s="140" t="e">
        <f>U254-U250</f>
        <v>#DIV/0!</v>
      </c>
      <c r="AA254" s="108"/>
      <c r="AB254" s="108"/>
    </row>
    <row r="255" spans="19:34" x14ac:dyDescent="0.25">
      <c r="S255" s="116"/>
      <c r="T255" s="108"/>
      <c r="U255" s="108"/>
      <c r="V255" s="108"/>
      <c r="W255" s="108"/>
      <c r="X255" s="108"/>
      <c r="Y255" s="108"/>
      <c r="Z255" s="108"/>
      <c r="AA255" s="108"/>
      <c r="AB255" s="108"/>
    </row>
    <row r="256" spans="19:34" x14ac:dyDescent="0.25">
      <c r="S256" s="116"/>
      <c r="T256" s="108"/>
      <c r="U256" s="108"/>
      <c r="V256" s="108"/>
      <c r="W256" s="108"/>
      <c r="X256" s="108"/>
      <c r="Y256" s="108"/>
      <c r="Z256" s="108"/>
      <c r="AA256" s="108"/>
      <c r="AB256" s="108"/>
    </row>
    <row r="257" spans="19:34" x14ac:dyDescent="0.25">
      <c r="S257" s="116"/>
      <c r="T257" s="108"/>
      <c r="U257" s="108"/>
      <c r="V257" s="108"/>
      <c r="W257" s="108"/>
      <c r="X257" s="108"/>
      <c r="Y257" s="108"/>
      <c r="Z257" s="108"/>
      <c r="AA257" s="108"/>
      <c r="AB257" s="108"/>
    </row>
    <row r="258" spans="19:34" x14ac:dyDescent="0.25">
      <c r="S258" s="116"/>
      <c r="T258" s="108" t="s">
        <v>116</v>
      </c>
      <c r="U258" s="108">
        <v>0.98</v>
      </c>
      <c r="V258" s="108"/>
      <c r="W258" s="108"/>
      <c r="X258" s="108"/>
      <c r="Y258" s="108"/>
      <c r="Z258" s="108"/>
      <c r="AA258" s="108"/>
      <c r="AB258" s="108"/>
    </row>
    <row r="259" spans="19:34" x14ac:dyDescent="0.25">
      <c r="S259" s="116"/>
      <c r="T259" s="108" t="s">
        <v>106</v>
      </c>
      <c r="U259" s="143">
        <f>U252</f>
        <v>0</v>
      </c>
      <c r="V259" s="108" t="s">
        <v>117</v>
      </c>
      <c r="W259" s="108"/>
      <c r="X259" s="108"/>
      <c r="Y259" s="108"/>
      <c r="Z259" s="108"/>
      <c r="AA259" s="108"/>
      <c r="AB259" s="108"/>
    </row>
    <row r="260" spans="19:34" x14ac:dyDescent="0.25">
      <c r="S260" s="116"/>
      <c r="T260" s="108" t="s">
        <v>118</v>
      </c>
      <c r="U260" s="143">
        <f>C31+273.15</f>
        <v>273.14999999999998</v>
      </c>
      <c r="V260" s="108" t="s">
        <v>49</v>
      </c>
      <c r="W260" s="108"/>
      <c r="X260" s="108"/>
      <c r="Y260" s="108"/>
      <c r="Z260" s="108"/>
      <c r="AA260" s="108"/>
      <c r="AB260" s="108"/>
    </row>
    <row r="261" spans="19:34" x14ac:dyDescent="0.25">
      <c r="S261" s="116"/>
      <c r="T261" s="108"/>
      <c r="U261" s="108"/>
      <c r="V261" s="108"/>
      <c r="W261" s="108"/>
      <c r="X261" s="108"/>
      <c r="Y261" s="108"/>
      <c r="Z261" s="108"/>
      <c r="AA261" s="108"/>
      <c r="AB261" s="108"/>
    </row>
    <row r="262" spans="19:34" x14ac:dyDescent="0.25">
      <c r="S262" s="116"/>
      <c r="T262" s="108" t="s">
        <v>121</v>
      </c>
      <c r="U262" s="108" t="e">
        <f>(0.98*U251*U260)/U259</f>
        <v>#DIV/0!</v>
      </c>
      <c r="V262" s="108" t="s">
        <v>113</v>
      </c>
      <c r="W262" s="108"/>
      <c r="X262" s="108"/>
      <c r="Y262" s="108"/>
      <c r="Z262" s="108"/>
      <c r="AA262" s="108"/>
      <c r="AB262" s="108"/>
    </row>
    <row r="263" spans="19:34" x14ac:dyDescent="0.25">
      <c r="S263" s="116"/>
      <c r="T263" s="147"/>
      <c r="U263" s="116"/>
      <c r="V263" s="116"/>
      <c r="W263" s="116"/>
      <c r="X263" s="116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</row>
    <row r="264" spans="19:34" ht="15.75" thickBot="1" x14ac:dyDescent="0.3">
      <c r="S264" s="116"/>
      <c r="T264" s="147"/>
      <c r="U264" s="116"/>
      <c r="V264" s="116"/>
      <c r="W264" s="116"/>
      <c r="X264" s="116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</row>
    <row r="265" spans="19:34" ht="15.75" thickBot="1" x14ac:dyDescent="0.3">
      <c r="S265" s="116"/>
      <c r="V265" s="162" t="s">
        <v>60</v>
      </c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4"/>
    </row>
    <row r="266" spans="19:34" x14ac:dyDescent="0.25">
      <c r="S266" s="116"/>
      <c r="Y266" s="175" t="s">
        <v>63</v>
      </c>
      <c r="Z266" s="175"/>
      <c r="AA266" s="175"/>
      <c r="AB266" s="175"/>
      <c r="AC266" s="175"/>
      <c r="AD266" s="175"/>
      <c r="AE266" s="175"/>
      <c r="AF266" s="175"/>
      <c r="AG266" s="175"/>
      <c r="AH266" s="175"/>
    </row>
    <row r="267" spans="19:34" ht="17.25" x14ac:dyDescent="0.25">
      <c r="S267" s="116">
        <v>9</v>
      </c>
      <c r="T267" s="70" t="s">
        <v>76</v>
      </c>
      <c r="U267" s="130" t="s">
        <v>77</v>
      </c>
      <c r="V267" s="70" t="s">
        <v>78</v>
      </c>
      <c r="W267" s="70" t="s">
        <v>79</v>
      </c>
      <c r="X267" s="70" t="s">
        <v>80</v>
      </c>
      <c r="Y267" s="131" t="s">
        <v>30</v>
      </c>
      <c r="Z267" s="131" t="s">
        <v>32</v>
      </c>
      <c r="AA267" s="131" t="s">
        <v>81</v>
      </c>
      <c r="AB267" s="131" t="s">
        <v>25</v>
      </c>
      <c r="AC267" s="131" t="s">
        <v>26</v>
      </c>
      <c r="AD267" s="131" t="s">
        <v>27</v>
      </c>
      <c r="AE267" s="131" t="s">
        <v>28</v>
      </c>
      <c r="AF267" s="131" t="s">
        <v>82</v>
      </c>
      <c r="AG267" s="131" t="s">
        <v>29</v>
      </c>
      <c r="AH267" s="132" t="s">
        <v>31</v>
      </c>
    </row>
    <row r="268" spans="19:34" x14ac:dyDescent="0.25">
      <c r="S268" s="116"/>
      <c r="T268" s="70">
        <f>K32</f>
        <v>0.90293166666666669</v>
      </c>
      <c r="U268" s="69">
        <f>+S8*T268</f>
        <v>2.4201343506176399E-5</v>
      </c>
      <c r="V268" s="69">
        <f>$T$268*T268</f>
        <v>0.8152855946694445</v>
      </c>
      <c r="W268" s="69">
        <f>$R$8*R8</f>
        <v>4.2845172623208805E-2</v>
      </c>
      <c r="X268" s="69">
        <f>SQRT(W268)</f>
        <v>0.20699075492207086</v>
      </c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</row>
    <row r="269" spans="19:34" x14ac:dyDescent="0.25">
      <c r="S269" s="116"/>
      <c r="T269" s="70">
        <f>M32</f>
        <v>5.4438749999999994E-2</v>
      </c>
      <c r="U269" s="69">
        <f t="shared" ref="U269:U277" si="84">+S9*T269</f>
        <v>2.2068477668165377E-6</v>
      </c>
      <c r="V269" s="69">
        <f t="shared" ref="V269:V277" si="85">$T$268*T269</f>
        <v>4.9154471268749993E-2</v>
      </c>
      <c r="W269" s="69">
        <f t="shared" ref="W269:W277" si="86">$R$8*R9</f>
        <v>0.12918986849197683</v>
      </c>
      <c r="X269" s="69">
        <f t="shared" ref="X269:X277" si="87">SQRT(W269)</f>
        <v>0.35942992153127268</v>
      </c>
      <c r="Y269" s="70">
        <f t="shared" ref="Y269:Y277" si="88">(($T$268*T269)*SQRT($R$8*R9))*(1-B60)</f>
        <v>1.7713523479190706E-2</v>
      </c>
      <c r="Z269" s="70"/>
      <c r="AA269" s="70"/>
      <c r="AB269" s="70"/>
      <c r="AC269" s="70"/>
      <c r="AD269" s="70"/>
      <c r="AE269" s="70"/>
      <c r="AF269" s="70"/>
      <c r="AG269" s="70"/>
      <c r="AH269" s="70"/>
    </row>
    <row r="270" spans="19:34" x14ac:dyDescent="0.25">
      <c r="S270" s="116"/>
      <c r="T270" s="70">
        <f>+E32</f>
        <v>4.2670833333333345E-3</v>
      </c>
      <c r="U270" s="69">
        <f t="shared" si="84"/>
        <v>2.4030621931308149E-7</v>
      </c>
      <c r="V270" s="69">
        <f t="shared" si="85"/>
        <v>3.8528846659722235E-3</v>
      </c>
      <c r="W270" s="69">
        <f t="shared" si="86"/>
        <v>0.24193902239770376</v>
      </c>
      <c r="X270" s="69">
        <f t="shared" si="87"/>
        <v>0.49187297384355622</v>
      </c>
      <c r="Y270" s="70">
        <f t="shared" si="88"/>
        <v>1.8685980207886024E-3</v>
      </c>
      <c r="Z270" s="70">
        <f t="shared" ref="Z270:Z277" si="89">(($T$269*T270)*SQRT($R$9*R10))*(1-B61)</f>
        <v>1.9562863482592758E-4</v>
      </c>
      <c r="AA270" s="70"/>
      <c r="AB270" s="70"/>
      <c r="AC270" s="70"/>
      <c r="AD270" s="70"/>
      <c r="AE270" s="70"/>
      <c r="AF270" s="70"/>
      <c r="AG270" s="70"/>
      <c r="AH270" s="70"/>
    </row>
    <row r="271" spans="19:34" x14ac:dyDescent="0.25">
      <c r="S271" s="116"/>
      <c r="T271" s="70">
        <f>+G32</f>
        <v>5.0250000000000013E-4</v>
      </c>
      <c r="U271" s="69">
        <f t="shared" si="84"/>
        <v>3.6403040292734042E-8</v>
      </c>
      <c r="V271" s="69">
        <f t="shared" si="85"/>
        <v>4.5372316250000012E-4</v>
      </c>
      <c r="W271" s="69">
        <f t="shared" si="86"/>
        <v>0.39059496580954223</v>
      </c>
      <c r="X271" s="69">
        <f t="shared" si="87"/>
        <v>0.62497597218576506</v>
      </c>
      <c r="Y271" s="70">
        <f t="shared" si="88"/>
        <v>2.7630678307721953E-4</v>
      </c>
      <c r="Z271" s="70">
        <f t="shared" si="89"/>
        <v>2.8927312437015217E-5</v>
      </c>
      <c r="AA271" s="70">
        <f t="shared" ref="AA271:AA277" si="90">(($T$270*U271)*SQRT($R$10*S11))*(1-C62)</f>
        <v>1.4389547298351485E-12</v>
      </c>
      <c r="AB271" s="70"/>
      <c r="AC271" s="70"/>
      <c r="AD271" s="70"/>
      <c r="AE271" s="70"/>
      <c r="AF271" s="70"/>
      <c r="AG271" s="70"/>
      <c r="AH271" s="70"/>
    </row>
    <row r="272" spans="19:34" x14ac:dyDescent="0.25">
      <c r="S272" s="116"/>
      <c r="T272" s="70">
        <f>+F32</f>
        <v>3.8916666666666678E-4</v>
      </c>
      <c r="U272" s="69">
        <f t="shared" si="84"/>
        <v>2.8203157276877933E-8</v>
      </c>
      <c r="V272" s="69">
        <f t="shared" si="85"/>
        <v>3.5139090694444455E-4</v>
      </c>
      <c r="W272" s="69">
        <f t="shared" si="86"/>
        <v>0.36453710099529019</v>
      </c>
      <c r="X272" s="69">
        <f t="shared" si="87"/>
        <v>0.60376907919774281</v>
      </c>
      <c r="Y272" s="70">
        <f t="shared" si="88"/>
        <v>2.0933725009879373E-4</v>
      </c>
      <c r="Z272" s="70">
        <f t="shared" si="89"/>
        <v>2.1916088960512603E-5</v>
      </c>
      <c r="AA272" s="70">
        <f t="shared" si="90"/>
        <v>1.0969782561774788E-12</v>
      </c>
      <c r="AB272" s="70">
        <f t="shared" ref="AB272:AB277" si="91">(($T$271*V272)*SQRT($R$11*T272))*(1-D63)</f>
        <v>4.7692128682231872E-9</v>
      </c>
      <c r="AC272" s="70"/>
      <c r="AD272" s="70"/>
      <c r="AE272" s="70"/>
      <c r="AF272" s="70"/>
      <c r="AG272" s="70"/>
      <c r="AH272" s="70"/>
    </row>
    <row r="273" spans="19:34" x14ac:dyDescent="0.25">
      <c r="S273" s="116"/>
      <c r="T273" s="70">
        <f>+I32</f>
        <v>6.916666666666669E-5</v>
      </c>
      <c r="U273" s="69">
        <f t="shared" si="84"/>
        <v>6.2359663441438694E-9</v>
      </c>
      <c r="V273" s="69">
        <f t="shared" si="85"/>
        <v>6.2452773611111129E-5</v>
      </c>
      <c r="W273" s="69">
        <f t="shared" si="86"/>
        <v>0.57891172563229198</v>
      </c>
      <c r="X273" s="69">
        <f t="shared" si="87"/>
        <v>0.76086248799128742</v>
      </c>
      <c r="Y273" s="70">
        <f t="shared" si="88"/>
        <v>4.7784073358892191E-5</v>
      </c>
      <c r="Z273" s="70">
        <f t="shared" si="89"/>
        <v>5.0026452632530119E-6</v>
      </c>
      <c r="AA273" s="70">
        <f t="shared" si="90"/>
        <v>2.7315919971387181E-13</v>
      </c>
      <c r="AB273" s="70">
        <f t="shared" si="91"/>
        <v>3.5454914584244649E-10</v>
      </c>
      <c r="AC273" s="70">
        <f>(($T$272*W273)*SQRT($R$12*U273))*(1-E64)</f>
        <v>2.3609960226338795E-8</v>
      </c>
      <c r="AD273" s="70"/>
      <c r="AE273" s="70"/>
      <c r="AF273" s="70"/>
      <c r="AG273" s="70"/>
      <c r="AH273" s="70"/>
    </row>
    <row r="274" spans="19:34" x14ac:dyDescent="0.25">
      <c r="S274" s="116"/>
      <c r="T274" s="70">
        <f>+H32</f>
        <v>8.3750000000000016E-5</v>
      </c>
      <c r="U274" s="69">
        <f t="shared" si="84"/>
        <v>7.3793768143085789E-9</v>
      </c>
      <c r="V274" s="69">
        <f t="shared" si="85"/>
        <v>7.5620527083333344E-5</v>
      </c>
      <c r="W274" s="69">
        <f t="shared" si="86"/>
        <v>0.54235185847350886</v>
      </c>
      <c r="X274" s="69">
        <f t="shared" si="87"/>
        <v>0.73644542124553181</v>
      </c>
      <c r="Y274" s="70">
        <f t="shared" si="88"/>
        <v>5.4409511931472596E-5</v>
      </c>
      <c r="Z274" s="70">
        <f t="shared" si="89"/>
        <v>5.6962805388217748E-6</v>
      </c>
      <c r="AA274" s="70">
        <f t="shared" si="90"/>
        <v>3.1706255632338524E-13</v>
      </c>
      <c r="AB274" s="70">
        <f t="shared" si="91"/>
        <v>4.6494624433586419E-10</v>
      </c>
      <c r="AC274" s="70">
        <f>(($T$272*W274)*SQRT($R$12*U274))*(1-E65)</f>
        <v>2.4061461579088905E-8</v>
      </c>
      <c r="AD274" s="70">
        <f>(($T$273*X274)*SQRT($R$13*V274))*(1-F65)</f>
        <v>7.4077780484853306E-7</v>
      </c>
      <c r="AE274" s="70"/>
      <c r="AF274" s="70"/>
      <c r="AG274" s="70"/>
      <c r="AH274" s="70"/>
    </row>
    <row r="275" spans="19:34" x14ac:dyDescent="0.25">
      <c r="S275" s="116"/>
      <c r="T275" s="70">
        <f>+D32</f>
        <v>1.545833333333334E-4</v>
      </c>
      <c r="U275" s="69">
        <f t="shared" si="84"/>
        <v>1.6779351013417194E-8</v>
      </c>
      <c r="V275" s="69">
        <f t="shared" si="85"/>
        <v>1.3957818680555563E-4</v>
      </c>
      <c r="W275" s="69">
        <f t="shared" si="86"/>
        <v>0.8050809492880614</v>
      </c>
      <c r="X275" s="69">
        <f t="shared" si="87"/>
        <v>0.89726303238685889</v>
      </c>
      <c r="Y275" s="70">
        <f t="shared" si="88"/>
        <v>1.1995328889855775E-4</v>
      </c>
      <c r="Z275" s="70">
        <f t="shared" si="89"/>
        <v>1.2558237721027597E-5</v>
      </c>
      <c r="AA275" s="70">
        <f t="shared" si="90"/>
        <v>8.1453807465143988E-13</v>
      </c>
      <c r="AB275" s="70">
        <f t="shared" si="91"/>
        <v>1.1970676276532388E-9</v>
      </c>
      <c r="AC275" s="70">
        <f>(($T$272*W275)*SQRT($R$12*U275))*(1-E66)</f>
        <v>5.3858984137505463E-8</v>
      </c>
      <c r="AD275" s="70">
        <f>(($T$273*X275)*SQRT($R$13*V275))*(1-F66)</f>
        <v>1.2330519120929832E-6</v>
      </c>
      <c r="AE275" s="70">
        <f>(($T$274*Y275)*SQRT($R$14*W275))*(1-G66)</f>
        <v>1.4590891998979787E-8</v>
      </c>
      <c r="AF275" s="70"/>
      <c r="AG275" s="70"/>
      <c r="AH275" s="70"/>
    </row>
    <row r="276" spans="19:34" x14ac:dyDescent="0.25">
      <c r="S276" s="116"/>
      <c r="T276" s="70">
        <f>+J32</f>
        <v>3.4535000000000003E-2</v>
      </c>
      <c r="U276" s="69">
        <f t="shared" si="84"/>
        <v>8.2919400816421355E-7</v>
      </c>
      <c r="V276" s="69">
        <f t="shared" si="85"/>
        <v>3.1182745108333337E-2</v>
      </c>
      <c r="W276" s="69">
        <f t="shared" si="86"/>
        <v>1.8651528335962096E-2</v>
      </c>
      <c r="X276" s="69">
        <f t="shared" si="87"/>
        <v>0.13657059835836591</v>
      </c>
      <c r="Y276" s="70">
        <f t="shared" si="88"/>
        <v>4.1262022623907548E-3</v>
      </c>
      <c r="Z276" s="70">
        <f t="shared" si="89"/>
        <v>4.3198339430248025E-4</v>
      </c>
      <c r="AA276" s="70">
        <f t="shared" si="90"/>
        <v>1.7778718302437804E-11</v>
      </c>
      <c r="AB276" s="70">
        <f t="shared" si="91"/>
        <v>3.6592673738777209E-6</v>
      </c>
      <c r="AC276" s="70">
        <f>(($T$272*W276)*SQRT($R$12*U276))*(1-E67)</f>
        <v>7.8653979339093667E-9</v>
      </c>
      <c r="AD276" s="70">
        <f>(($T$273*X276)*SQRT($R$13*V276))*(1-F67)</f>
        <v>2.5664319725415302E-6</v>
      </c>
      <c r="AE276" s="70">
        <f>(($T$274*Y276)*SQRT($R$14*W276))*(1-G67)</f>
        <v>6.9350214912471011E-8</v>
      </c>
      <c r="AF276" s="70">
        <f>(($T$275*Z276)*SQRT($R$15*X276))*(1-H67)</f>
        <v>4.3802120621813037E-8</v>
      </c>
      <c r="AG276" s="70"/>
      <c r="AH276" s="70"/>
    </row>
    <row r="277" spans="19:34" x14ac:dyDescent="0.25">
      <c r="S277" s="116"/>
      <c r="T277" s="70">
        <f>L32</f>
        <v>2.6295833333333336E-3</v>
      </c>
      <c r="U277" s="69">
        <f t="shared" si="84"/>
        <v>7.0088023526250283E-8</v>
      </c>
      <c r="V277" s="69">
        <f t="shared" si="85"/>
        <v>2.374334061805556E-3</v>
      </c>
      <c r="W277" s="69">
        <f t="shared" si="86"/>
        <v>8.5334097849090448E-2</v>
      </c>
      <c r="X277" s="69">
        <f t="shared" si="87"/>
        <v>0.29212000590355064</v>
      </c>
      <c r="Y277" s="70">
        <f t="shared" si="88"/>
        <v>6.2984951502570463E-4</v>
      </c>
      <c r="Z277" s="70">
        <f t="shared" si="89"/>
        <v>6.5940667494793849E-5</v>
      </c>
      <c r="AA277" s="70">
        <f t="shared" si="90"/>
        <v>1.4486067587150053E-12</v>
      </c>
      <c r="AB277" s="70">
        <f t="shared" si="91"/>
        <v>7.3614561774948481E-8</v>
      </c>
      <c r="AC277" s="70">
        <f>(($T$272*W277)*SQRT($R$12*U277))*(1-E68)</f>
        <v>1.0267346251534968E-8</v>
      </c>
      <c r="AD277" s="70">
        <f>(($T$273*X277)*SQRT($R$13*V277))*(1-F68)</f>
        <v>1.4270150515714894E-6</v>
      </c>
      <c r="AE277" s="70">
        <f>(($T$274*Y277)*SQRT($R$14*W277))*(1-G68)</f>
        <v>1.9480452549507249E-8</v>
      </c>
      <c r="AF277" s="70">
        <f>(($T$275*Z277)*SQRT($R$15*X277))*(1-H68)</f>
        <v>9.5375435625277976E-9</v>
      </c>
      <c r="AG277" s="70">
        <f>(($T$276*AA277)*SQRT($R$16*Y277))*(1-I68)</f>
        <v>3.3542861713001572E-16</v>
      </c>
      <c r="AH277" s="70"/>
    </row>
    <row r="278" spans="19:34" x14ac:dyDescent="0.25">
      <c r="S278" s="116"/>
      <c r="T278" s="130" t="s">
        <v>77</v>
      </c>
      <c r="U278" s="133">
        <f>SUM(U268:U277)</f>
        <v>2.7642780415737961E-5</v>
      </c>
      <c r="V278" s="108"/>
      <c r="W278" s="108"/>
      <c r="X278" s="108"/>
      <c r="Y278" s="70">
        <f>SUM(Y269:Y277)</f>
        <v>2.5045964184760697E-2</v>
      </c>
      <c r="Z278" s="70">
        <f t="shared" ref="Z278:AG278" si="92">SUM(Z269:Z277)</f>
        <v>7.6765326154383192E-4</v>
      </c>
      <c r="AA278" s="70">
        <f t="shared" si="92"/>
        <v>2.3168017877854131E-11</v>
      </c>
      <c r="AB278" s="70">
        <f t="shared" si="92"/>
        <v>3.7396677115387242E-6</v>
      </c>
      <c r="AC278" s="70">
        <f t="shared" si="92"/>
        <v>1.196631501283775E-7</v>
      </c>
      <c r="AD278" s="70">
        <f t="shared" si="92"/>
        <v>5.967276741054536E-6</v>
      </c>
      <c r="AE278" s="70">
        <f t="shared" si="92"/>
        <v>1.0342155946095804E-7</v>
      </c>
      <c r="AF278" s="70">
        <f t="shared" si="92"/>
        <v>5.3339664184340838E-8</v>
      </c>
      <c r="AG278" s="70">
        <f t="shared" si="92"/>
        <v>3.3542861713001572E-16</v>
      </c>
      <c r="AH278" s="130">
        <f>SUM(Y278:AG278)</f>
        <v>2.5823600838299255E-2</v>
      </c>
    </row>
    <row r="279" spans="19:34" x14ac:dyDescent="0.25">
      <c r="S279" s="116"/>
    </row>
    <row r="280" spans="19:34" x14ac:dyDescent="0.25">
      <c r="S280" s="116"/>
      <c r="T280" s="112" t="s">
        <v>99</v>
      </c>
      <c r="U280" s="108"/>
      <c r="V280" s="108"/>
      <c r="W280" s="108"/>
      <c r="X280" s="108"/>
      <c r="Y280" s="108"/>
      <c r="Z280" s="108"/>
      <c r="AA280" s="108"/>
      <c r="AB280" s="108"/>
    </row>
    <row r="281" spans="19:34" x14ac:dyDescent="0.25">
      <c r="S281" s="116"/>
      <c r="T281" s="137" t="s">
        <v>100</v>
      </c>
      <c r="U281" s="138">
        <f>+AH278</f>
        <v>2.5823600838299255E-2</v>
      </c>
      <c r="V281" s="138" t="s">
        <v>101</v>
      </c>
      <c r="W281" s="139"/>
      <c r="X281" s="108"/>
      <c r="Y281" s="108"/>
      <c r="Z281" s="108"/>
      <c r="AA281" s="108"/>
      <c r="AB281" s="108"/>
    </row>
    <row r="282" spans="19:34" x14ac:dyDescent="0.25">
      <c r="S282" s="116"/>
      <c r="T282" s="137" t="s">
        <v>103</v>
      </c>
      <c r="U282" s="138">
        <f>+U278</f>
        <v>2.7642780415737961E-5</v>
      </c>
      <c r="V282" s="138" t="s">
        <v>101</v>
      </c>
      <c r="W282" s="108"/>
      <c r="X282" s="108"/>
      <c r="Y282" s="108"/>
      <c r="Z282" s="140" t="e">
        <f>(U286*U286)+(2*U282*U286)-(U282*U282)</f>
        <v>#DIV/0!</v>
      </c>
      <c r="AA282" s="108"/>
      <c r="AB282" s="108"/>
    </row>
    <row r="283" spans="19:34" x14ac:dyDescent="0.25">
      <c r="S283" s="116"/>
      <c r="T283" s="137" t="s">
        <v>104</v>
      </c>
      <c r="U283" s="138">
        <v>8.3145100000000003</v>
      </c>
      <c r="V283" s="138" t="s">
        <v>105</v>
      </c>
      <c r="W283" s="108"/>
      <c r="X283" s="108"/>
      <c r="Y283" s="108"/>
      <c r="Z283" s="140"/>
      <c r="AA283" s="108"/>
      <c r="AB283" s="108"/>
    </row>
    <row r="284" spans="19:34" x14ac:dyDescent="0.25">
      <c r="S284" s="116"/>
      <c r="T284" s="137" t="s">
        <v>106</v>
      </c>
      <c r="U284" s="141">
        <f>B32*98066.5</f>
        <v>0</v>
      </c>
      <c r="V284" s="142" t="s">
        <v>107</v>
      </c>
      <c r="W284" s="108"/>
      <c r="X284" s="108"/>
      <c r="Y284" s="108"/>
      <c r="Z284" s="140" t="e">
        <f>U281/Z282</f>
        <v>#DIV/0!</v>
      </c>
      <c r="AA284" s="108"/>
      <c r="AB284" s="108"/>
    </row>
    <row r="285" spans="19:34" x14ac:dyDescent="0.25">
      <c r="S285" s="116"/>
      <c r="T285" s="137" t="s">
        <v>108</v>
      </c>
      <c r="U285" s="141" t="s">
        <v>109</v>
      </c>
      <c r="V285" s="138" t="s">
        <v>110</v>
      </c>
      <c r="W285" s="108"/>
      <c r="X285" s="108"/>
      <c r="Y285" s="108"/>
      <c r="Z285" s="140"/>
      <c r="AA285" s="108"/>
      <c r="AB285" s="108"/>
    </row>
    <row r="286" spans="19:34" x14ac:dyDescent="0.25">
      <c r="S286" s="116"/>
      <c r="T286" s="137" t="s">
        <v>112</v>
      </c>
      <c r="U286" s="138" t="e">
        <f>+U294</f>
        <v>#DIV/0!</v>
      </c>
      <c r="V286" s="138" t="s">
        <v>113</v>
      </c>
      <c r="W286" s="108"/>
      <c r="X286" s="108"/>
      <c r="Y286" s="108"/>
      <c r="Z286" s="140" t="e">
        <f>U286-U282</f>
        <v>#DIV/0!</v>
      </c>
      <c r="AA286" s="108"/>
      <c r="AB286" s="108"/>
    </row>
    <row r="287" spans="19:34" x14ac:dyDescent="0.25">
      <c r="S287" s="116"/>
      <c r="T287" s="108"/>
      <c r="U287" s="108"/>
      <c r="V287" s="108"/>
      <c r="W287" s="108"/>
      <c r="X287" s="108"/>
      <c r="Y287" s="108"/>
      <c r="Z287" s="108"/>
      <c r="AA287" s="108"/>
      <c r="AB287" s="108"/>
    </row>
    <row r="288" spans="19:34" x14ac:dyDescent="0.25">
      <c r="S288" s="116"/>
      <c r="T288" s="108"/>
      <c r="U288" s="108"/>
      <c r="V288" s="108"/>
      <c r="W288" s="108"/>
      <c r="X288" s="108"/>
      <c r="Y288" s="108"/>
      <c r="Z288" s="108"/>
      <c r="AA288" s="108"/>
      <c r="AB288" s="108"/>
    </row>
    <row r="289" spans="19:34" x14ac:dyDescent="0.25">
      <c r="S289" s="116"/>
      <c r="T289" s="108"/>
      <c r="U289" s="108"/>
      <c r="V289" s="108"/>
      <c r="W289" s="108"/>
      <c r="X289" s="108"/>
      <c r="Y289" s="108"/>
      <c r="Z289" s="108"/>
      <c r="AA289" s="108"/>
      <c r="AB289" s="108"/>
    </row>
    <row r="290" spans="19:34" x14ac:dyDescent="0.25">
      <c r="S290" s="116"/>
      <c r="T290" s="108" t="s">
        <v>116</v>
      </c>
      <c r="U290" s="108">
        <v>0.98</v>
      </c>
      <c r="V290" s="108"/>
      <c r="W290" s="108"/>
      <c r="X290" s="108"/>
      <c r="Y290" s="108"/>
      <c r="Z290" s="108"/>
      <c r="AA290" s="108"/>
      <c r="AB290" s="108"/>
    </row>
    <row r="291" spans="19:34" x14ac:dyDescent="0.25">
      <c r="S291" s="116"/>
      <c r="T291" s="108" t="s">
        <v>106</v>
      </c>
      <c r="U291" s="143">
        <f>U284</f>
        <v>0</v>
      </c>
      <c r="V291" s="108" t="s">
        <v>117</v>
      </c>
      <c r="W291" s="108"/>
      <c r="X291" s="108"/>
      <c r="Y291" s="108"/>
      <c r="Z291" s="108"/>
      <c r="AA291" s="108"/>
      <c r="AB291" s="108"/>
    </row>
    <row r="292" spans="19:34" x14ac:dyDescent="0.25">
      <c r="S292" s="116"/>
      <c r="T292" s="108" t="s">
        <v>118</v>
      </c>
      <c r="U292" s="143">
        <f>C32+273.15</f>
        <v>273.14999999999998</v>
      </c>
      <c r="V292" s="108" t="s">
        <v>49</v>
      </c>
      <c r="W292" s="108"/>
      <c r="X292" s="108"/>
      <c r="Y292" s="108"/>
      <c r="Z292" s="108"/>
      <c r="AA292" s="108"/>
      <c r="AB292" s="108"/>
    </row>
    <row r="293" spans="19:34" x14ac:dyDescent="0.25">
      <c r="S293" s="116"/>
      <c r="T293" s="108"/>
      <c r="U293" s="108"/>
      <c r="V293" s="108"/>
      <c r="W293" s="108"/>
      <c r="X293" s="108"/>
      <c r="Y293" s="108"/>
      <c r="Z293" s="108"/>
      <c r="AA293" s="108"/>
      <c r="AB293" s="108"/>
    </row>
    <row r="294" spans="19:34" x14ac:dyDescent="0.25">
      <c r="S294" s="116"/>
      <c r="T294" s="108" t="s">
        <v>121</v>
      </c>
      <c r="U294" s="108" t="e">
        <f>(0.98*U283*U292)/U291</f>
        <v>#DIV/0!</v>
      </c>
      <c r="V294" s="108" t="s">
        <v>113</v>
      </c>
      <c r="W294" s="108"/>
      <c r="X294" s="108"/>
      <c r="Y294" s="108"/>
      <c r="Z294" s="108"/>
      <c r="AA294" s="108"/>
      <c r="AB294" s="108"/>
    </row>
    <row r="295" spans="19:34" x14ac:dyDescent="0.25">
      <c r="S295" s="116"/>
      <c r="T295" s="147"/>
      <c r="U295" s="116"/>
      <c r="V295" s="116"/>
      <c r="W295" s="116"/>
      <c r="X295" s="116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</row>
    <row r="296" spans="19:34" ht="15.75" thickBot="1" x14ac:dyDescent="0.3">
      <c r="S296" s="116"/>
      <c r="T296" s="147"/>
      <c r="U296" s="116"/>
      <c r="V296" s="116"/>
      <c r="W296" s="116"/>
      <c r="X296" s="116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</row>
    <row r="297" spans="19:34" ht="15.75" thickBot="1" x14ac:dyDescent="0.3">
      <c r="S297" s="116"/>
      <c r="V297" s="162" t="s">
        <v>60</v>
      </c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4"/>
    </row>
    <row r="298" spans="19:34" x14ac:dyDescent="0.25">
      <c r="S298" s="116"/>
      <c r="Y298" s="175" t="s">
        <v>63</v>
      </c>
      <c r="Z298" s="175"/>
      <c r="AA298" s="175"/>
      <c r="AB298" s="175"/>
      <c r="AC298" s="175"/>
      <c r="AD298" s="175"/>
      <c r="AE298" s="175"/>
      <c r="AF298" s="175"/>
      <c r="AG298" s="175"/>
      <c r="AH298" s="175"/>
    </row>
    <row r="299" spans="19:34" ht="17.25" x14ac:dyDescent="0.25">
      <c r="S299" s="116">
        <v>10</v>
      </c>
      <c r="T299" s="70" t="s">
        <v>76</v>
      </c>
      <c r="U299" s="130" t="s">
        <v>77</v>
      </c>
      <c r="V299" s="70" t="s">
        <v>78</v>
      </c>
      <c r="W299" s="70" t="s">
        <v>79</v>
      </c>
      <c r="X299" s="70" t="s">
        <v>80</v>
      </c>
      <c r="Y299" s="131" t="s">
        <v>30</v>
      </c>
      <c r="Z299" s="131" t="s">
        <v>32</v>
      </c>
      <c r="AA299" s="131" t="s">
        <v>81</v>
      </c>
      <c r="AB299" s="131" t="s">
        <v>25</v>
      </c>
      <c r="AC299" s="131" t="s">
        <v>26</v>
      </c>
      <c r="AD299" s="131" t="s">
        <v>27</v>
      </c>
      <c r="AE299" s="131" t="s">
        <v>28</v>
      </c>
      <c r="AF299" s="131" t="s">
        <v>82</v>
      </c>
      <c r="AG299" s="131" t="s">
        <v>29</v>
      </c>
      <c r="AH299" s="132" t="s">
        <v>31</v>
      </c>
    </row>
    <row r="300" spans="19:34" x14ac:dyDescent="0.25">
      <c r="S300" s="116"/>
      <c r="T300" s="70">
        <f>K33</f>
        <v>0.88286833333333337</v>
      </c>
      <c r="U300" s="69">
        <f>+S8*T300</f>
        <v>2.366358451532004E-5</v>
      </c>
      <c r="V300" s="69">
        <f>$T$300*T300</f>
        <v>0.77945649400277783</v>
      </c>
      <c r="W300" s="69">
        <f>$R$8*R8</f>
        <v>4.2845172623208805E-2</v>
      </c>
      <c r="X300" s="69">
        <f>SQRT(W300)</f>
        <v>0.20699075492207086</v>
      </c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</row>
    <row r="301" spans="19:34" x14ac:dyDescent="0.25">
      <c r="S301" s="116"/>
      <c r="T301" s="70">
        <f>M33</f>
        <v>5.6809583333333323E-2</v>
      </c>
      <c r="U301" s="69">
        <f t="shared" ref="U301:U309" si="93">+S9*T301</f>
        <v>2.3029570317640406E-6</v>
      </c>
      <c r="V301" s="69">
        <f t="shared" ref="V301:V309" si="94">$T$300*T301</f>
        <v>5.0155382154861101E-2</v>
      </c>
      <c r="W301" s="69">
        <f t="shared" ref="W301:W309" si="95">$R$8*R9</f>
        <v>0.12918986849197683</v>
      </c>
      <c r="X301" s="69">
        <f t="shared" ref="X301:X309" si="96">SQRT(W301)</f>
        <v>0.35942992153127268</v>
      </c>
      <c r="Y301" s="70">
        <f t="shared" ref="Y301:Y309" si="97">(($T$300*T301)*SQRT($R$8*R9))*(1-B60)</f>
        <v>1.807421616948068E-2</v>
      </c>
      <c r="Z301" s="70"/>
      <c r="AA301" s="70"/>
      <c r="AB301" s="70"/>
      <c r="AC301" s="70"/>
      <c r="AD301" s="70"/>
      <c r="AE301" s="70"/>
      <c r="AF301" s="70"/>
      <c r="AG301" s="70"/>
      <c r="AH301" s="70"/>
    </row>
    <row r="302" spans="19:34" x14ac:dyDescent="0.25">
      <c r="S302" s="116"/>
      <c r="T302" s="70">
        <f>+E33</f>
        <v>3.2287500000000003E-3</v>
      </c>
      <c r="U302" s="69">
        <f t="shared" si="93"/>
        <v>1.8183115842760163E-7</v>
      </c>
      <c r="V302" s="69">
        <f t="shared" si="94"/>
        <v>2.8505611312500002E-3</v>
      </c>
      <c r="W302" s="69">
        <f t="shared" si="95"/>
        <v>0.24193902239770376</v>
      </c>
      <c r="X302" s="69">
        <f t="shared" si="96"/>
        <v>0.49187297384355622</v>
      </c>
      <c r="Y302" s="70">
        <f t="shared" si="97"/>
        <v>1.3824843850202783E-3</v>
      </c>
      <c r="Z302" s="70">
        <f t="shared" ref="Z302:Z309" si="98">(($T$301*T302)*SQRT($R$9*R10))*(1-B61)</f>
        <v>1.5447178975462787E-4</v>
      </c>
      <c r="AA302" s="70"/>
      <c r="AB302" s="70"/>
      <c r="AC302" s="70"/>
      <c r="AD302" s="70"/>
      <c r="AE302" s="70"/>
      <c r="AF302" s="70"/>
      <c r="AG302" s="70"/>
      <c r="AH302" s="70"/>
    </row>
    <row r="303" spans="19:34" x14ac:dyDescent="0.25">
      <c r="S303" s="116"/>
      <c r="T303" s="70">
        <f>+G33</f>
        <v>3.1625000000000012E-4</v>
      </c>
      <c r="U303" s="69">
        <f t="shared" si="93"/>
        <v>2.2910371129506752E-8</v>
      </c>
      <c r="V303" s="69">
        <f t="shared" si="94"/>
        <v>2.7920711041666676E-4</v>
      </c>
      <c r="W303" s="69">
        <f t="shared" si="95"/>
        <v>0.39059496580954223</v>
      </c>
      <c r="X303" s="69">
        <f t="shared" si="96"/>
        <v>0.62497597218576506</v>
      </c>
      <c r="Y303" s="70">
        <f t="shared" si="97"/>
        <v>1.7003059325082441E-4</v>
      </c>
      <c r="Z303" s="70">
        <f t="shared" si="98"/>
        <v>1.8998355668307059E-5</v>
      </c>
      <c r="AA303" s="70">
        <f t="shared" ref="AA303:AA309" si="99">(($T$302*U303)*SQRT($R$10*S11))*(1-C62)</f>
        <v>6.85243451470705E-13</v>
      </c>
      <c r="AB303" s="70"/>
      <c r="AC303" s="70"/>
      <c r="AD303" s="70"/>
      <c r="AE303" s="70"/>
      <c r="AF303" s="70"/>
      <c r="AG303" s="70"/>
      <c r="AH303" s="70"/>
    </row>
    <row r="304" spans="19:34" x14ac:dyDescent="0.25">
      <c r="S304" s="116"/>
      <c r="T304" s="70">
        <f>+F33</f>
        <v>2.5500000000000013E-4</v>
      </c>
      <c r="U304" s="69">
        <f t="shared" si="93"/>
        <v>1.8480013119324729E-8</v>
      </c>
      <c r="V304" s="69">
        <f t="shared" si="94"/>
        <v>2.2513142500000011E-4</v>
      </c>
      <c r="W304" s="69">
        <f t="shared" si="95"/>
        <v>0.36453710099529019</v>
      </c>
      <c r="X304" s="69">
        <f t="shared" si="96"/>
        <v>0.60376907919774281</v>
      </c>
      <c r="Y304" s="70">
        <f t="shared" si="97"/>
        <v>1.341195588415551E-4</v>
      </c>
      <c r="Z304" s="70">
        <f t="shared" si="98"/>
        <v>1.498583891423284E-5</v>
      </c>
      <c r="AA304" s="70">
        <f t="shared" si="99"/>
        <v>5.4388347028863499E-13</v>
      </c>
      <c r="AB304" s="70">
        <f t="shared" ref="AB304:AB309" si="100">(($T$303*V304)*SQRT($R$11*T304))*(1-D63)</f>
        <v>1.5566430948643924E-9</v>
      </c>
      <c r="AC304" s="70"/>
      <c r="AD304" s="70"/>
      <c r="AE304" s="70"/>
      <c r="AF304" s="70"/>
      <c r="AG304" s="70"/>
      <c r="AH304" s="70"/>
    </row>
    <row r="305" spans="19:34" x14ac:dyDescent="0.25">
      <c r="S305" s="116"/>
      <c r="T305" s="70">
        <f>+I33</f>
        <v>7.4583333333333362E-5</v>
      </c>
      <c r="U305" s="69">
        <f t="shared" si="93"/>
        <v>6.7243251542274254E-9</v>
      </c>
      <c r="V305" s="69">
        <f t="shared" si="94"/>
        <v>6.5847263194444478E-5</v>
      </c>
      <c r="W305" s="69">
        <f t="shared" si="95"/>
        <v>0.57891172563229198</v>
      </c>
      <c r="X305" s="69">
        <f t="shared" si="96"/>
        <v>0.76086248799128742</v>
      </c>
      <c r="Y305" s="70">
        <f t="shared" si="97"/>
        <v>5.0381276491550789E-5</v>
      </c>
      <c r="Z305" s="70">
        <f t="shared" si="98"/>
        <v>5.6293481749947259E-6</v>
      </c>
      <c r="AA305" s="70">
        <f t="shared" si="99"/>
        <v>2.2287639238115623E-13</v>
      </c>
      <c r="AB305" s="70">
        <f t="shared" si="100"/>
        <v>2.4430332700419126E-10</v>
      </c>
      <c r="AC305" s="70">
        <f>(($T$304*W305)*SQRT($R$12*U305))*(1-E64)</f>
        <v>1.6064687168384576E-8</v>
      </c>
      <c r="AD305" s="70"/>
      <c r="AE305" s="70"/>
      <c r="AF305" s="70"/>
      <c r="AG305" s="70"/>
      <c r="AH305" s="70"/>
    </row>
    <row r="306" spans="19:34" x14ac:dyDescent="0.25">
      <c r="S306" s="116"/>
      <c r="T306" s="70">
        <f>+H33</f>
        <v>7.9166666666666689E-5</v>
      </c>
      <c r="U306" s="69">
        <f t="shared" si="93"/>
        <v>6.9755303219832346E-9</v>
      </c>
      <c r="V306" s="69">
        <f t="shared" si="94"/>
        <v>6.9893743055555579E-5</v>
      </c>
      <c r="W306" s="69">
        <f t="shared" si="95"/>
        <v>0.54235185847350886</v>
      </c>
      <c r="X306" s="69">
        <f t="shared" si="96"/>
        <v>0.73644542124553181</v>
      </c>
      <c r="Y306" s="70">
        <f t="shared" si="97"/>
        <v>5.0289049724895153E-5</v>
      </c>
      <c r="Z306" s="70">
        <f t="shared" si="98"/>
        <v>5.6190432240940545E-6</v>
      </c>
      <c r="AA306" s="70">
        <f t="shared" si="99"/>
        <v>2.2678054522839529E-13</v>
      </c>
      <c r="AB306" s="70">
        <f t="shared" si="100"/>
        <v>2.6295085229877289E-10</v>
      </c>
      <c r="AC306" s="70">
        <f>(($T$304*W306)*SQRT($R$12*U306))*(1-E65)</f>
        <v>1.5328699908825335E-8</v>
      </c>
      <c r="AD306" s="70">
        <f>(($T$305*X306)*SQRT($R$13*V306))*(1-F65)</f>
        <v>7.6794869016144872E-7</v>
      </c>
      <c r="AE306" s="70"/>
      <c r="AF306" s="70"/>
      <c r="AG306" s="70"/>
      <c r="AH306" s="70"/>
    </row>
    <row r="307" spans="19:34" x14ac:dyDescent="0.25">
      <c r="S307" s="116"/>
      <c r="T307" s="70">
        <f>+D33</f>
        <v>1.8541666666666674E-4</v>
      </c>
      <c r="U307" s="69">
        <f t="shared" si="93"/>
        <v>2.0126175743856205E-8</v>
      </c>
      <c r="V307" s="69">
        <f t="shared" si="94"/>
        <v>1.6369850347222229E-4</v>
      </c>
      <c r="W307" s="69">
        <f t="shared" si="95"/>
        <v>0.8050809492880614</v>
      </c>
      <c r="X307" s="69">
        <f t="shared" si="96"/>
        <v>0.89726303238685889</v>
      </c>
      <c r="Y307" s="70">
        <f t="shared" si="97"/>
        <v>1.4068225364339995E-4</v>
      </c>
      <c r="Z307" s="70">
        <f t="shared" si="98"/>
        <v>1.5719121128946245E-5</v>
      </c>
      <c r="AA307" s="70">
        <f t="shared" si="99"/>
        <v>7.3926609032582507E-13</v>
      </c>
      <c r="AB307" s="70">
        <f t="shared" si="100"/>
        <v>9.67683557835853E-10</v>
      </c>
      <c r="AC307" s="70">
        <f>(($T$304*W307)*SQRT($R$12*U307))*(1-E66)</f>
        <v>3.8650556759860946E-8</v>
      </c>
      <c r="AD307" s="70">
        <f>(($T$305*X307)*SQRT($R$13*V307))*(1-F66)</f>
        <v>1.4399250342648731E-6</v>
      </c>
      <c r="AE307" s="70">
        <f>(($T$306*Y307)*SQRT($R$14*W307))*(1-G66)</f>
        <v>1.6175828850464271E-8</v>
      </c>
      <c r="AF307" s="70"/>
      <c r="AG307" s="70"/>
      <c r="AH307" s="70"/>
    </row>
    <row r="308" spans="19:34" x14ac:dyDescent="0.25">
      <c r="S308" s="116"/>
      <c r="T308" s="70">
        <f>+J33</f>
        <v>5.5206666666666668E-2</v>
      </c>
      <c r="U308" s="69">
        <f t="shared" si="93"/>
        <v>1.3255259073611991E-6</v>
      </c>
      <c r="V308" s="69">
        <f t="shared" si="94"/>
        <v>4.8740217788888894E-2</v>
      </c>
      <c r="W308" s="69">
        <f t="shared" si="95"/>
        <v>1.8651528335962096E-2</v>
      </c>
      <c r="X308" s="69">
        <f t="shared" si="96"/>
        <v>0.13657059835836591</v>
      </c>
      <c r="Y308" s="70">
        <f t="shared" si="97"/>
        <v>6.4494641575409571E-3</v>
      </c>
      <c r="Z308" s="70">
        <f t="shared" si="98"/>
        <v>7.2063039710865281E-4</v>
      </c>
      <c r="AA308" s="70">
        <f t="shared" si="99"/>
        <v>2.1504819850351567E-11</v>
      </c>
      <c r="AB308" s="70">
        <f t="shared" si="100"/>
        <v>4.551219325770447E-6</v>
      </c>
      <c r="AC308" s="70">
        <f>(($T$304*W308)*SQRT($R$12*U308))*(1-E67)</f>
        <v>6.5161530789974949E-9</v>
      </c>
      <c r="AD308" s="70">
        <f>(($T$305*X308)*SQRT($R$13*V308))*(1-F67)</f>
        <v>3.4598817849736835E-6</v>
      </c>
      <c r="AE308" s="70">
        <f>(($T$306*Y308)*SQRT($R$14*W308))*(1-G67)</f>
        <v>1.0246569154842255E-7</v>
      </c>
      <c r="AF308" s="70">
        <f>(($T$307*Z308)*SQRT($R$15*X308))*(1-H67)</f>
        <v>8.7644922802787503E-8</v>
      </c>
      <c r="AG308" s="70"/>
      <c r="AH308" s="70"/>
    </row>
    <row r="309" spans="19:34" x14ac:dyDescent="0.25">
      <c r="S309" s="116"/>
      <c r="T309" s="70">
        <f>L33</f>
        <v>9.7749999999999985E-4</v>
      </c>
      <c r="U309" s="69">
        <f t="shared" si="93"/>
        <v>2.6053953920548744E-8</v>
      </c>
      <c r="V309" s="69">
        <f t="shared" si="94"/>
        <v>8.6300379583333325E-4</v>
      </c>
      <c r="W309" s="69">
        <f t="shared" si="95"/>
        <v>8.5334097849090448E-2</v>
      </c>
      <c r="X309" s="69">
        <f t="shared" si="96"/>
        <v>0.29212000590355064</v>
      </c>
      <c r="Y309" s="70">
        <f t="shared" si="97"/>
        <v>2.2893262199912023E-4</v>
      </c>
      <c r="Z309" s="70">
        <f t="shared" si="98"/>
        <v>2.5579769461848266E-5</v>
      </c>
      <c r="AA309" s="70">
        <f t="shared" si="99"/>
        <v>4.0745873215018782E-13</v>
      </c>
      <c r="AB309" s="70">
        <f t="shared" si="100"/>
        <v>1.026701026026066E-8</v>
      </c>
      <c r="AC309" s="70">
        <f>(($T$304*W309)*SQRT($R$12*U309))*(1-E68)</f>
        <v>4.1018301023701253E-9</v>
      </c>
      <c r="AD309" s="70">
        <f>(($T$305*X309)*SQRT($R$13*V309))*(1-F68)</f>
        <v>9.2770295160567042E-7</v>
      </c>
      <c r="AE309" s="70">
        <f>(($T$306*Y309)*SQRT($R$14*W309))*(1-G68)</f>
        <v>6.6931023822007047E-9</v>
      </c>
      <c r="AF309" s="70">
        <f>(($T$307*Z309)*SQRT($R$15*X309))*(1-H68)</f>
        <v>4.4377815779699383E-9</v>
      </c>
      <c r="AG309" s="70">
        <f>(($T$308*AA309)*SQRT($R$16*Y309))*(1-I68)</f>
        <v>9.0928649499600718E-17</v>
      </c>
      <c r="AH309" s="70"/>
    </row>
    <row r="310" spans="19:34" x14ac:dyDescent="0.25">
      <c r="S310" s="116"/>
      <c r="T310" s="130" t="s">
        <v>77</v>
      </c>
      <c r="U310" s="133">
        <f>SUM(U300:U309)</f>
        <v>2.7575168982262329E-5</v>
      </c>
      <c r="V310" s="108"/>
      <c r="W310" s="108"/>
      <c r="X310" s="108"/>
      <c r="Y310" s="70">
        <f>SUM(Y301:Y309)</f>
        <v>2.6680600065993265E-2</v>
      </c>
      <c r="Z310" s="70">
        <f t="shared" ref="Z310:AG310" si="101">SUM(Z301:Z309)</f>
        <v>9.6163366343570388E-4</v>
      </c>
      <c r="AA310" s="70">
        <f t="shared" si="101"/>
        <v>2.4330328532196471E-11</v>
      </c>
      <c r="AB310" s="70">
        <f t="shared" si="101"/>
        <v>4.564517916862711E-6</v>
      </c>
      <c r="AC310" s="70">
        <f t="shared" si="101"/>
        <v>8.0661927018438476E-8</v>
      </c>
      <c r="AD310" s="70">
        <f t="shared" si="101"/>
        <v>6.5954584610056766E-6</v>
      </c>
      <c r="AE310" s="70">
        <f t="shared" si="101"/>
        <v>1.2533462278108752E-7</v>
      </c>
      <c r="AF310" s="70">
        <f t="shared" si="101"/>
        <v>9.2082704380757446E-8</v>
      </c>
      <c r="AG310" s="70">
        <f t="shared" si="101"/>
        <v>9.0928649499600718E-17</v>
      </c>
      <c r="AH310" s="130">
        <f>SUM(Y310:AG310)</f>
        <v>2.7653691809391444E-2</v>
      </c>
    </row>
    <row r="311" spans="19:34" x14ac:dyDescent="0.25">
      <c r="S311" s="116"/>
    </row>
    <row r="312" spans="19:34" x14ac:dyDescent="0.25">
      <c r="S312" s="116"/>
      <c r="T312" s="112" t="s">
        <v>99</v>
      </c>
      <c r="U312" s="108"/>
      <c r="V312" s="108"/>
      <c r="W312" s="108"/>
      <c r="X312" s="108"/>
      <c r="Y312" s="108"/>
      <c r="Z312" s="108"/>
      <c r="AA312" s="108"/>
      <c r="AB312" s="108"/>
    </row>
    <row r="313" spans="19:34" x14ac:dyDescent="0.25">
      <c r="S313" s="116"/>
      <c r="T313" s="137" t="s">
        <v>100</v>
      </c>
      <c r="U313" s="138">
        <f>+AH310</f>
        <v>2.7653691809391444E-2</v>
      </c>
      <c r="V313" s="138" t="s">
        <v>101</v>
      </c>
      <c r="W313" s="139"/>
      <c r="X313" s="108"/>
      <c r="Y313" s="108"/>
      <c r="Z313" s="108"/>
      <c r="AA313" s="108"/>
      <c r="AB313" s="108"/>
    </row>
    <row r="314" spans="19:34" x14ac:dyDescent="0.25">
      <c r="S314" s="116"/>
      <c r="T314" s="137" t="s">
        <v>103</v>
      </c>
      <c r="U314" s="138">
        <f>+U310</f>
        <v>2.7575168982262329E-5</v>
      </c>
      <c r="V314" s="138" t="s">
        <v>101</v>
      </c>
      <c r="W314" s="108"/>
      <c r="X314" s="108"/>
      <c r="Y314" s="108"/>
      <c r="Z314" s="140" t="e">
        <f>(U318*U318)+(2*U314*U318)-(U314*U314)</f>
        <v>#DIV/0!</v>
      </c>
      <c r="AA314" s="108"/>
      <c r="AB314" s="108"/>
    </row>
    <row r="315" spans="19:34" x14ac:dyDescent="0.25">
      <c r="S315" s="116"/>
      <c r="T315" s="137" t="s">
        <v>104</v>
      </c>
      <c r="U315" s="138">
        <v>8.3145100000000003</v>
      </c>
      <c r="V315" s="138" t="s">
        <v>105</v>
      </c>
      <c r="W315" s="108"/>
      <c r="X315" s="108"/>
      <c r="Y315" s="108"/>
      <c r="Z315" s="140"/>
      <c r="AA315" s="108"/>
      <c r="AB315" s="108"/>
    </row>
    <row r="316" spans="19:34" x14ac:dyDescent="0.25">
      <c r="S316" s="116"/>
      <c r="T316" s="137" t="s">
        <v>106</v>
      </c>
      <c r="U316" s="141">
        <f>B33*98066.5</f>
        <v>0</v>
      </c>
      <c r="V316" s="142" t="s">
        <v>107</v>
      </c>
      <c r="W316" s="108"/>
      <c r="X316" s="108"/>
      <c r="Y316" s="108"/>
      <c r="Z316" s="140" t="e">
        <f>U313/Z314</f>
        <v>#DIV/0!</v>
      </c>
      <c r="AA316" s="108"/>
      <c r="AB316" s="108"/>
    </row>
    <row r="317" spans="19:34" x14ac:dyDescent="0.25">
      <c r="S317" s="116"/>
      <c r="T317" s="137" t="s">
        <v>108</v>
      </c>
      <c r="U317" s="141" t="s">
        <v>109</v>
      </c>
      <c r="V317" s="138" t="s">
        <v>110</v>
      </c>
      <c r="W317" s="108"/>
      <c r="X317" s="108"/>
      <c r="Y317" s="108"/>
      <c r="Z317" s="140"/>
      <c r="AA317" s="108"/>
      <c r="AB317" s="108"/>
    </row>
    <row r="318" spans="19:34" x14ac:dyDescent="0.25">
      <c r="S318" s="116"/>
      <c r="T318" s="137" t="s">
        <v>112</v>
      </c>
      <c r="U318" s="138" t="e">
        <f>+U326</f>
        <v>#DIV/0!</v>
      </c>
      <c r="V318" s="138" t="s">
        <v>113</v>
      </c>
      <c r="W318" s="108"/>
      <c r="X318" s="108"/>
      <c r="Y318" s="108"/>
      <c r="Z318" s="140" t="e">
        <f>U318-U314</f>
        <v>#DIV/0!</v>
      </c>
      <c r="AA318" s="108"/>
      <c r="AB318" s="108"/>
    </row>
    <row r="319" spans="19:34" x14ac:dyDescent="0.25">
      <c r="S319" s="116"/>
      <c r="T319" s="108"/>
      <c r="U319" s="108"/>
      <c r="V319" s="108"/>
      <c r="W319" s="108"/>
      <c r="X319" s="108"/>
      <c r="Y319" s="108"/>
      <c r="Z319" s="108"/>
      <c r="AA319" s="108"/>
      <c r="AB319" s="108"/>
    </row>
    <row r="320" spans="19:34" x14ac:dyDescent="0.25">
      <c r="S320" s="116"/>
      <c r="T320" s="108"/>
      <c r="U320" s="108"/>
      <c r="V320" s="108"/>
      <c r="W320" s="108"/>
      <c r="X320" s="108"/>
      <c r="Y320" s="108"/>
      <c r="Z320" s="108"/>
      <c r="AA320" s="108"/>
      <c r="AB320" s="108"/>
    </row>
    <row r="321" spans="19:34" x14ac:dyDescent="0.25">
      <c r="S321" s="116"/>
      <c r="T321" s="108"/>
      <c r="U321" s="108"/>
      <c r="V321" s="108"/>
      <c r="W321" s="108"/>
      <c r="X321" s="108"/>
      <c r="Y321" s="108"/>
      <c r="Z321" s="108"/>
      <c r="AA321" s="108"/>
      <c r="AB321" s="108"/>
    </row>
    <row r="322" spans="19:34" x14ac:dyDescent="0.25">
      <c r="S322" s="116"/>
      <c r="T322" s="108" t="s">
        <v>116</v>
      </c>
      <c r="U322" s="108">
        <v>0.98</v>
      </c>
      <c r="V322" s="108"/>
      <c r="W322" s="108"/>
      <c r="X322" s="108"/>
      <c r="Y322" s="108"/>
      <c r="Z322" s="108"/>
      <c r="AA322" s="108"/>
      <c r="AB322" s="108"/>
    </row>
    <row r="323" spans="19:34" x14ac:dyDescent="0.25">
      <c r="S323" s="116"/>
      <c r="T323" s="108" t="s">
        <v>106</v>
      </c>
      <c r="U323" s="143">
        <f>U316</f>
        <v>0</v>
      </c>
      <c r="V323" s="108" t="s">
        <v>117</v>
      </c>
      <c r="W323" s="108"/>
      <c r="X323" s="108"/>
      <c r="Y323" s="108"/>
      <c r="Z323" s="108"/>
      <c r="AA323" s="108"/>
      <c r="AB323" s="108"/>
    </row>
    <row r="324" spans="19:34" x14ac:dyDescent="0.25">
      <c r="S324" s="116"/>
      <c r="T324" s="108" t="s">
        <v>118</v>
      </c>
      <c r="U324" s="143">
        <f>C33+273.15</f>
        <v>273.14999999999998</v>
      </c>
      <c r="V324" s="108" t="s">
        <v>49</v>
      </c>
      <c r="W324" s="108"/>
      <c r="X324" s="108"/>
      <c r="Y324" s="108"/>
      <c r="Z324" s="108"/>
      <c r="AA324" s="108"/>
      <c r="AB324" s="108"/>
    </row>
    <row r="325" spans="19:34" x14ac:dyDescent="0.25">
      <c r="S325" s="116"/>
      <c r="T325" s="108"/>
      <c r="U325" s="108"/>
      <c r="V325" s="108"/>
      <c r="W325" s="108"/>
      <c r="X325" s="108"/>
      <c r="Y325" s="108"/>
      <c r="Z325" s="108"/>
      <c r="AA325" s="108"/>
      <c r="AB325" s="108"/>
    </row>
    <row r="326" spans="19:34" x14ac:dyDescent="0.25">
      <c r="S326" s="116"/>
      <c r="T326" s="108" t="s">
        <v>121</v>
      </c>
      <c r="U326" s="108" t="e">
        <f>(0.98*U315*U324)/U323</f>
        <v>#DIV/0!</v>
      </c>
      <c r="V326" s="108" t="s">
        <v>113</v>
      </c>
      <c r="W326" s="108"/>
      <c r="X326" s="108"/>
      <c r="Y326" s="108"/>
      <c r="Z326" s="108"/>
      <c r="AA326" s="108"/>
      <c r="AB326" s="108"/>
    </row>
    <row r="327" spans="19:34" x14ac:dyDescent="0.25">
      <c r="S327" s="116"/>
      <c r="T327" s="147"/>
      <c r="U327" s="116"/>
      <c r="V327" s="116"/>
      <c r="W327" s="116"/>
      <c r="X327" s="116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</row>
    <row r="328" spans="19:34" ht="15.75" thickBot="1" x14ac:dyDescent="0.3">
      <c r="S328" s="116"/>
      <c r="T328" s="147"/>
      <c r="U328" s="116"/>
      <c r="V328" s="116"/>
      <c r="W328" s="116"/>
      <c r="X328" s="116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</row>
    <row r="329" spans="19:34" ht="15.75" thickBot="1" x14ac:dyDescent="0.3">
      <c r="S329" s="116"/>
      <c r="V329" s="162" t="s">
        <v>60</v>
      </c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4"/>
    </row>
    <row r="330" spans="19:34" x14ac:dyDescent="0.25">
      <c r="S330" s="116"/>
      <c r="Y330" s="175" t="s">
        <v>63</v>
      </c>
      <c r="Z330" s="175"/>
      <c r="AA330" s="175"/>
      <c r="AB330" s="175"/>
      <c r="AC330" s="175"/>
      <c r="AD330" s="175"/>
      <c r="AE330" s="175"/>
      <c r="AF330" s="175"/>
      <c r="AG330" s="175"/>
      <c r="AH330" s="175"/>
    </row>
    <row r="331" spans="19:34" ht="17.25" x14ac:dyDescent="0.25">
      <c r="S331" s="116">
        <v>11</v>
      </c>
      <c r="T331" s="70" t="s">
        <v>76</v>
      </c>
      <c r="U331" s="130" t="s">
        <v>77</v>
      </c>
      <c r="V331" s="70" t="s">
        <v>78</v>
      </c>
      <c r="W331" s="70" t="s">
        <v>79</v>
      </c>
      <c r="X331" s="70" t="s">
        <v>80</v>
      </c>
      <c r="Y331" s="131" t="s">
        <v>30</v>
      </c>
      <c r="Z331" s="131" t="s">
        <v>32</v>
      </c>
      <c r="AA331" s="131" t="s">
        <v>81</v>
      </c>
      <c r="AB331" s="131" t="s">
        <v>25</v>
      </c>
      <c r="AC331" s="131" t="s">
        <v>26</v>
      </c>
      <c r="AD331" s="131" t="s">
        <v>27</v>
      </c>
      <c r="AE331" s="131" t="s">
        <v>28</v>
      </c>
      <c r="AF331" s="131" t="s">
        <v>82</v>
      </c>
      <c r="AG331" s="131" t="s">
        <v>29</v>
      </c>
      <c r="AH331" s="132" t="s">
        <v>31</v>
      </c>
    </row>
    <row r="332" spans="19:34" x14ac:dyDescent="0.25">
      <c r="S332" s="116"/>
      <c r="T332" s="70">
        <f>K34</f>
        <v>0.89952416666666679</v>
      </c>
      <c r="U332" s="69">
        <f>+S8*T332</f>
        <v>2.4110012034436427E-5</v>
      </c>
      <c r="V332" s="69">
        <f>$T$332*T332</f>
        <v>0.80914372641736132</v>
      </c>
      <c r="W332" s="69">
        <f>$R$8*R8</f>
        <v>4.2845172623208805E-2</v>
      </c>
      <c r="X332" s="69">
        <f>SQRT(W332)</f>
        <v>0.20699075492207086</v>
      </c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</row>
    <row r="333" spans="19:34" x14ac:dyDescent="0.25">
      <c r="S333" s="116"/>
      <c r="T333" s="70">
        <f>M34</f>
        <v>5.5259166666666665E-2</v>
      </c>
      <c r="U333" s="69">
        <f t="shared" ref="U333:U341" si="102">+S9*T333</f>
        <v>2.2401059641243821E-6</v>
      </c>
      <c r="V333" s="69">
        <f t="shared" ref="V333:V341" si="103">$T$332*T333</f>
        <v>4.9706955846527782E-2</v>
      </c>
      <c r="W333" s="69">
        <f t="shared" ref="W333:W341" si="104">$R$8*R9</f>
        <v>0.12918986849197683</v>
      </c>
      <c r="X333" s="69">
        <f t="shared" ref="X333:X341" si="105">SQRT(W333)</f>
        <v>0.35942992153127268</v>
      </c>
      <c r="Y333" s="70">
        <f t="shared" ref="Y333:Y341" si="106">(($T$332*T333)*SQRT($R$8*R9))*(1-B60)</f>
        <v>1.7912619274298554E-2</v>
      </c>
      <c r="Z333" s="70"/>
      <c r="AA333" s="70"/>
      <c r="AB333" s="70"/>
      <c r="AC333" s="70"/>
      <c r="AD333" s="70"/>
      <c r="AE333" s="70"/>
      <c r="AF333" s="70"/>
      <c r="AG333" s="70"/>
      <c r="AH333" s="70"/>
    </row>
    <row r="334" spans="19:34" x14ac:dyDescent="0.25">
      <c r="S334" s="116"/>
      <c r="T334" s="70">
        <f>+E34</f>
        <v>4.6920833333333346E-3</v>
      </c>
      <c r="U334" s="69">
        <f t="shared" si="102"/>
        <v>2.6424063428225865E-7</v>
      </c>
      <c r="V334" s="69">
        <f t="shared" si="103"/>
        <v>4.2206423503472236E-3</v>
      </c>
      <c r="W334" s="69">
        <f t="shared" si="104"/>
        <v>0.24193902239770376</v>
      </c>
      <c r="X334" s="69">
        <f t="shared" si="105"/>
        <v>0.49187297384355622</v>
      </c>
      <c r="Y334" s="70">
        <f t="shared" si="106"/>
        <v>2.0469556257338107E-3</v>
      </c>
      <c r="Z334" s="70">
        <f t="shared" ref="Z334:Z341" si="107">(($T$333*T334)*SQRT($R$9*R10))*(1-B61)</f>
        <v>2.1835503129717852E-4</v>
      </c>
      <c r="AA334" s="70"/>
      <c r="AB334" s="70"/>
      <c r="AC334" s="70"/>
      <c r="AD334" s="70"/>
      <c r="AE334" s="70"/>
      <c r="AF334" s="70"/>
      <c r="AG334" s="70"/>
      <c r="AH334" s="70"/>
    </row>
    <row r="335" spans="19:34" x14ac:dyDescent="0.25">
      <c r="S335" s="116"/>
      <c r="T335" s="70">
        <f>+G34</f>
        <v>6.229166666666668E-4</v>
      </c>
      <c r="U335" s="69">
        <f t="shared" si="102"/>
        <v>4.512648858842238E-8</v>
      </c>
      <c r="V335" s="69">
        <f t="shared" si="103"/>
        <v>5.6032859548611129E-4</v>
      </c>
      <c r="W335" s="69">
        <f t="shared" si="104"/>
        <v>0.39059496580954223</v>
      </c>
      <c r="X335" s="69">
        <f t="shared" si="105"/>
        <v>0.62497597218576506</v>
      </c>
      <c r="Y335" s="70">
        <f t="shared" si="106"/>
        <v>3.4122699584450682E-4</v>
      </c>
      <c r="Z335" s="70">
        <f t="shared" si="107"/>
        <v>3.6399729637694998E-5</v>
      </c>
      <c r="AA335" s="70">
        <f t="shared" ref="AA335:AA341" si="108">(($T$334*U335)*SQRT($R$10*S11))*(1-C62)</f>
        <v>1.9614426219443937E-12</v>
      </c>
      <c r="AB335" s="70"/>
      <c r="AC335" s="70"/>
      <c r="AD335" s="70"/>
      <c r="AE335" s="70"/>
      <c r="AF335" s="70"/>
      <c r="AG335" s="70"/>
      <c r="AH335" s="70"/>
    </row>
    <row r="336" spans="19:34" x14ac:dyDescent="0.25">
      <c r="S336" s="116"/>
      <c r="T336" s="70">
        <f>+F34</f>
        <v>5.5291666666666662E-4</v>
      </c>
      <c r="U336" s="69">
        <f t="shared" si="102"/>
        <v>4.0070224525071733E-8</v>
      </c>
      <c r="V336" s="69">
        <f t="shared" si="103"/>
        <v>4.9736190381944451E-4</v>
      </c>
      <c r="W336" s="69">
        <f t="shared" si="104"/>
        <v>0.36453710099529019</v>
      </c>
      <c r="X336" s="69">
        <f t="shared" si="105"/>
        <v>0.60376907919774281</v>
      </c>
      <c r="Y336" s="70">
        <f t="shared" si="106"/>
        <v>2.9629785857243087E-4</v>
      </c>
      <c r="Z336" s="70">
        <f t="shared" si="107"/>
        <v>3.1607000839931034E-5</v>
      </c>
      <c r="AA336" s="70">
        <f t="shared" si="108"/>
        <v>1.7137862663466715E-12</v>
      </c>
      <c r="AB336" s="70">
        <f t="shared" ref="AB336:AB341" si="109">(($T$335*V336)*SQRT($R$11*T336))*(1-D63)</f>
        <v>9.9743502196445069E-9</v>
      </c>
      <c r="AC336" s="70"/>
      <c r="AD336" s="70"/>
      <c r="AE336" s="70"/>
      <c r="AF336" s="70"/>
      <c r="AG336" s="70"/>
      <c r="AH336" s="70"/>
    </row>
    <row r="337" spans="19:34" x14ac:dyDescent="0.25">
      <c r="S337" s="116"/>
      <c r="T337" s="70">
        <f>+I34</f>
        <v>9.3750000000000029E-5</v>
      </c>
      <c r="U337" s="69">
        <f t="shared" si="102"/>
        <v>8.45236402067693E-9</v>
      </c>
      <c r="V337" s="69">
        <f t="shared" si="103"/>
        <v>8.4330390625000039E-5</v>
      </c>
      <c r="W337" s="69">
        <f t="shared" si="104"/>
        <v>0.57891172563229198</v>
      </c>
      <c r="X337" s="69">
        <f t="shared" si="105"/>
        <v>0.76086248799128742</v>
      </c>
      <c r="Y337" s="70">
        <f t="shared" si="106"/>
        <v>6.4523148276830273E-5</v>
      </c>
      <c r="Z337" s="70">
        <f t="shared" si="107"/>
        <v>6.8828820147623034E-6</v>
      </c>
      <c r="AA337" s="70">
        <f t="shared" si="108"/>
        <v>4.0712226503614094E-13</v>
      </c>
      <c r="AB337" s="70">
        <f t="shared" si="109"/>
        <v>6.9093934605454658E-10</v>
      </c>
      <c r="AC337" s="70">
        <f>(($T$336*W337)*SQRT($R$12*U337))*(1-E64)</f>
        <v>3.905319025081576E-8</v>
      </c>
      <c r="AD337" s="70"/>
      <c r="AE337" s="70"/>
      <c r="AF337" s="70"/>
      <c r="AG337" s="70"/>
      <c r="AH337" s="70"/>
    </row>
    <row r="338" spans="19:34" x14ac:dyDescent="0.25">
      <c r="S338" s="116"/>
      <c r="T338" s="70">
        <f>+H34</f>
        <v>1.0125000000000004E-4</v>
      </c>
      <c r="U338" s="69">
        <f t="shared" si="102"/>
        <v>8.9213361486417162E-9</v>
      </c>
      <c r="V338" s="69">
        <f t="shared" si="103"/>
        <v>9.1076821875000043E-5</v>
      </c>
      <c r="W338" s="69">
        <f t="shared" si="104"/>
        <v>0.54235185847350886</v>
      </c>
      <c r="X338" s="69">
        <f t="shared" si="105"/>
        <v>0.73644542124553181</v>
      </c>
      <c r="Y338" s="70">
        <f t="shared" si="106"/>
        <v>6.5530426957055585E-5</v>
      </c>
      <c r="Z338" s="70">
        <f t="shared" si="107"/>
        <v>6.9903315192754902E-6</v>
      </c>
      <c r="AA338" s="70">
        <f t="shared" si="108"/>
        <v>4.2149241662117439E-13</v>
      </c>
      <c r="AB338" s="70">
        <f t="shared" si="109"/>
        <v>7.63255432913052E-10</v>
      </c>
      <c r="AC338" s="70">
        <f>(($T$336*W338)*SQRT($R$12*U338))*(1-E65)</f>
        <v>3.75881679881135E-8</v>
      </c>
      <c r="AD338" s="70">
        <f>(($T$337*X338)*SQRT($R$13*V338))*(1-F65)</f>
        <v>1.1019108904483611E-6</v>
      </c>
      <c r="AE338" s="70"/>
      <c r="AF338" s="70"/>
      <c r="AG338" s="70"/>
      <c r="AH338" s="70"/>
    </row>
    <row r="339" spans="19:34" x14ac:dyDescent="0.25">
      <c r="S339" s="116"/>
      <c r="T339" s="70">
        <f>+D34</f>
        <v>2.1333333333333339E-4</v>
      </c>
      <c r="U339" s="69">
        <f t="shared" si="102"/>
        <v>2.3156408945740168E-8</v>
      </c>
      <c r="V339" s="69">
        <f t="shared" si="103"/>
        <v>1.9189848888888895E-4</v>
      </c>
      <c r="W339" s="69">
        <f t="shared" si="104"/>
        <v>0.8050809492880614</v>
      </c>
      <c r="X339" s="69">
        <f t="shared" si="105"/>
        <v>0.89726303238685889</v>
      </c>
      <c r="Y339" s="70">
        <f t="shared" si="106"/>
        <v>1.6491727972475244E-4</v>
      </c>
      <c r="Z339" s="70">
        <f t="shared" si="107"/>
        <v>1.7592231762637504E-5</v>
      </c>
      <c r="AA339" s="70">
        <f t="shared" si="108"/>
        <v>1.2360670610335997E-12</v>
      </c>
      <c r="AB339" s="70">
        <f t="shared" si="109"/>
        <v>2.3967050967023243E-9</v>
      </c>
      <c r="AC339" s="70">
        <f>(($T$336*W339)*SQRT($R$12*U339))*(1-E66)</f>
        <v>8.9893901559837489E-8</v>
      </c>
      <c r="AD339" s="70">
        <f>(($T$337*X339)*SQRT($R$13*V339))*(1-F66)</f>
        <v>1.9596693148447213E-6</v>
      </c>
      <c r="AE339" s="70">
        <f>(($T$338*Y339)*SQRT($R$14*W339))*(1-G66)</f>
        <v>2.4251916350142192E-8</v>
      </c>
      <c r="AF339" s="70"/>
      <c r="AG339" s="70"/>
      <c r="AH339" s="70"/>
    </row>
    <row r="340" spans="19:34" x14ac:dyDescent="0.25">
      <c r="S340" s="116"/>
      <c r="T340" s="70">
        <f>+J34</f>
        <v>3.6693333333333328E-2</v>
      </c>
      <c r="U340" s="69">
        <f t="shared" si="102"/>
        <v>8.8101613260669474E-7</v>
      </c>
      <c r="V340" s="69">
        <f t="shared" si="103"/>
        <v>3.300654008888889E-2</v>
      </c>
      <c r="W340" s="69">
        <f t="shared" si="104"/>
        <v>1.8651528335962096E-2</v>
      </c>
      <c r="X340" s="69">
        <f t="shared" si="105"/>
        <v>0.13657059835836591</v>
      </c>
      <c r="Y340" s="70">
        <f t="shared" si="106"/>
        <v>4.3675327465659327E-3</v>
      </c>
      <c r="Z340" s="70">
        <f t="shared" si="107"/>
        <v>4.6589810623079577E-4</v>
      </c>
      <c r="AA340" s="70">
        <f t="shared" si="108"/>
        <v>2.077125545400397E-11</v>
      </c>
      <c r="AB340" s="70">
        <f t="shared" si="109"/>
        <v>4.9492288780868149E-6</v>
      </c>
      <c r="AC340" s="70">
        <f>(($T$336*W340)*SQRT($R$12*U340))*(1-E67)</f>
        <v>1.1518836113622306E-8</v>
      </c>
      <c r="AD340" s="70">
        <f>(($T$337*X340)*SQRT($R$13*V340))*(1-F67)</f>
        <v>3.5788790023554167E-6</v>
      </c>
      <c r="AE340" s="70">
        <f>(($T$338*Y340)*SQRT($R$14*W340))*(1-G67)</f>
        <v>8.8744957239262251E-8</v>
      </c>
      <c r="AF340" s="70">
        <f>(($T$339*Z340)*SQRT($R$15*X340))*(1-H67)</f>
        <v>6.5195118750145997E-8</v>
      </c>
      <c r="AG340" s="70"/>
      <c r="AH340" s="70"/>
    </row>
    <row r="341" spans="19:34" x14ac:dyDescent="0.25">
      <c r="S341" s="116"/>
      <c r="T341" s="70">
        <f>L34</f>
        <v>2.2474999999999999E-3</v>
      </c>
      <c r="U341" s="69">
        <f t="shared" si="102"/>
        <v>5.9904103771287272E-8</v>
      </c>
      <c r="V341" s="69">
        <f t="shared" si="103"/>
        <v>2.0216805645833337E-3</v>
      </c>
      <c r="W341" s="69">
        <f t="shared" si="104"/>
        <v>8.5334097849090448E-2</v>
      </c>
      <c r="X341" s="69">
        <f t="shared" si="105"/>
        <v>0.29212000590355064</v>
      </c>
      <c r="Y341" s="70">
        <f t="shared" si="106"/>
        <v>5.3629964865659486E-4</v>
      </c>
      <c r="Z341" s="70">
        <f t="shared" si="107"/>
        <v>5.7208727485284983E-5</v>
      </c>
      <c r="AA341" s="70">
        <f t="shared" si="108"/>
        <v>1.3614379783634143E-12</v>
      </c>
      <c r="AB341" s="70">
        <f t="shared" si="109"/>
        <v>7.1834770742594652E-8</v>
      </c>
      <c r="AC341" s="70">
        <f>(($T$336*W341)*SQRT($R$12*U341))*(1-E68)</f>
        <v>1.3486170184963817E-8</v>
      </c>
      <c r="AD341" s="70">
        <f>(($T$337*X341)*SQRT($R$13*V341))*(1-F68)</f>
        <v>1.7847949996722843E-6</v>
      </c>
      <c r="AE341" s="70">
        <f>(($T$338*Y341)*SQRT($R$14*W341))*(1-G68)</f>
        <v>2.0053028500848328E-8</v>
      </c>
      <c r="AF341" s="70">
        <f>(($T$339*Z341)*SQRT($R$15*X341))*(1-H68)</f>
        <v>1.1419353955900034E-8</v>
      </c>
      <c r="AG341" s="70">
        <f>(($T$340*AA341)*SQRT($R$16*Y341))*(1-I68)</f>
        <v>3.0907261626375747E-16</v>
      </c>
      <c r="AH341" s="70"/>
    </row>
    <row r="342" spans="19:34" x14ac:dyDescent="0.25">
      <c r="S342" s="116"/>
      <c r="T342" s="130" t="s">
        <v>77</v>
      </c>
      <c r="U342" s="133">
        <f>SUM(U332:U341)</f>
        <v>2.7681005691449602E-5</v>
      </c>
      <c r="V342" s="108"/>
      <c r="W342" s="108"/>
      <c r="X342" s="108"/>
      <c r="Y342" s="70">
        <f>SUM(Y333:Y341)</f>
        <v>2.5795903004630461E-2</v>
      </c>
      <c r="Z342" s="70">
        <f t="shared" ref="Z342:AG342" si="110">SUM(Z333:Z341)</f>
        <v>8.4093404078756072E-4</v>
      </c>
      <c r="AA342" s="70">
        <f t="shared" si="110"/>
        <v>2.7872604063349363E-11</v>
      </c>
      <c r="AB342" s="70">
        <f t="shared" si="110"/>
        <v>5.0348888989247237E-6</v>
      </c>
      <c r="AC342" s="70">
        <f t="shared" si="110"/>
        <v>1.9154026609735285E-7</v>
      </c>
      <c r="AD342" s="70">
        <f t="shared" si="110"/>
        <v>8.4252542073207833E-6</v>
      </c>
      <c r="AE342" s="70">
        <f t="shared" si="110"/>
        <v>1.3304990209025277E-7</v>
      </c>
      <c r="AF342" s="70">
        <f t="shared" si="110"/>
        <v>7.6614472706046026E-8</v>
      </c>
      <c r="AG342" s="70">
        <f t="shared" si="110"/>
        <v>3.0907261626375747E-16</v>
      </c>
      <c r="AH342" s="130">
        <f>SUM(Y342:AG342)</f>
        <v>2.6650698421038073E-2</v>
      </c>
    </row>
    <row r="343" spans="19:34" x14ac:dyDescent="0.25">
      <c r="S343" s="116"/>
    </row>
    <row r="344" spans="19:34" x14ac:dyDescent="0.25">
      <c r="S344" s="116"/>
      <c r="T344" s="112" t="s">
        <v>99</v>
      </c>
      <c r="U344" s="108"/>
      <c r="V344" s="108"/>
      <c r="W344" s="108"/>
      <c r="X344" s="108"/>
      <c r="Y344" s="108"/>
      <c r="Z344" s="108"/>
      <c r="AA344" s="108"/>
      <c r="AB344" s="108"/>
    </row>
    <row r="345" spans="19:34" x14ac:dyDescent="0.25">
      <c r="S345" s="116"/>
      <c r="T345" s="137" t="s">
        <v>100</v>
      </c>
      <c r="U345" s="138">
        <f>+AH342</f>
        <v>2.6650698421038073E-2</v>
      </c>
      <c r="V345" s="138" t="s">
        <v>101</v>
      </c>
      <c r="W345" s="139"/>
      <c r="X345" s="108"/>
      <c r="Y345" s="108"/>
      <c r="Z345" s="108"/>
      <c r="AA345" s="108"/>
      <c r="AB345" s="108"/>
    </row>
    <row r="346" spans="19:34" x14ac:dyDescent="0.25">
      <c r="S346" s="116"/>
      <c r="T346" s="137" t="s">
        <v>103</v>
      </c>
      <c r="U346" s="138">
        <f>+U342</f>
        <v>2.7681005691449602E-5</v>
      </c>
      <c r="V346" s="138" t="s">
        <v>101</v>
      </c>
      <c r="W346" s="108"/>
      <c r="X346" s="108"/>
      <c r="Y346" s="108"/>
      <c r="Z346" s="140" t="e">
        <f>(U350*U350)+(2*U346*U350)-(U346*U346)</f>
        <v>#DIV/0!</v>
      </c>
      <c r="AA346" s="108"/>
      <c r="AB346" s="108"/>
    </row>
    <row r="347" spans="19:34" x14ac:dyDescent="0.25">
      <c r="S347" s="116"/>
      <c r="T347" s="137" t="s">
        <v>104</v>
      </c>
      <c r="U347" s="138">
        <v>8.3145100000000003</v>
      </c>
      <c r="V347" s="138" t="s">
        <v>105</v>
      </c>
      <c r="W347" s="108"/>
      <c r="X347" s="108"/>
      <c r="Y347" s="108"/>
      <c r="Z347" s="140"/>
      <c r="AA347" s="108"/>
      <c r="AB347" s="108"/>
    </row>
    <row r="348" spans="19:34" x14ac:dyDescent="0.25">
      <c r="S348" s="116"/>
      <c r="T348" s="137" t="s">
        <v>106</v>
      </c>
      <c r="U348" s="141">
        <f>B34*98066.5</f>
        <v>0</v>
      </c>
      <c r="V348" s="142" t="s">
        <v>107</v>
      </c>
      <c r="W348" s="108"/>
      <c r="X348" s="108"/>
      <c r="Y348" s="108"/>
      <c r="Z348" s="140" t="e">
        <f>U345/Z346</f>
        <v>#DIV/0!</v>
      </c>
      <c r="AA348" s="108"/>
      <c r="AB348" s="108"/>
    </row>
    <row r="349" spans="19:34" x14ac:dyDescent="0.25">
      <c r="S349" s="116"/>
      <c r="T349" s="137" t="s">
        <v>108</v>
      </c>
      <c r="U349" s="141" t="s">
        <v>109</v>
      </c>
      <c r="V349" s="138" t="s">
        <v>110</v>
      </c>
      <c r="W349" s="108"/>
      <c r="X349" s="108"/>
      <c r="Y349" s="108"/>
      <c r="Z349" s="140"/>
      <c r="AA349" s="108"/>
      <c r="AB349" s="108"/>
    </row>
    <row r="350" spans="19:34" x14ac:dyDescent="0.25">
      <c r="S350" s="116"/>
      <c r="T350" s="137" t="s">
        <v>112</v>
      </c>
      <c r="U350" s="138" t="e">
        <f>+U358</f>
        <v>#DIV/0!</v>
      </c>
      <c r="V350" s="138" t="s">
        <v>113</v>
      </c>
      <c r="W350" s="108"/>
      <c r="X350" s="108"/>
      <c r="Y350" s="108"/>
      <c r="Z350" s="140" t="e">
        <f>U350-U346</f>
        <v>#DIV/0!</v>
      </c>
      <c r="AA350" s="108"/>
      <c r="AB350" s="108"/>
    </row>
    <row r="351" spans="19:34" x14ac:dyDescent="0.25">
      <c r="S351" s="116"/>
      <c r="T351" s="108"/>
      <c r="U351" s="108"/>
      <c r="V351" s="108"/>
      <c r="W351" s="108"/>
      <c r="X351" s="108"/>
      <c r="Y351" s="108"/>
      <c r="Z351" s="108"/>
      <c r="AA351" s="108"/>
      <c r="AB351" s="108"/>
    </row>
    <row r="352" spans="19:34" x14ac:dyDescent="0.25">
      <c r="S352" s="116"/>
      <c r="T352" s="108"/>
      <c r="U352" s="108"/>
      <c r="V352" s="108"/>
      <c r="W352" s="108"/>
      <c r="X352" s="108"/>
      <c r="Y352" s="108"/>
      <c r="Z352" s="108"/>
      <c r="AA352" s="108"/>
      <c r="AB352" s="108"/>
    </row>
    <row r="353" spans="19:34" x14ac:dyDescent="0.25">
      <c r="S353" s="116"/>
      <c r="T353" s="108"/>
      <c r="U353" s="108"/>
      <c r="V353" s="108"/>
      <c r="W353" s="108"/>
      <c r="X353" s="108"/>
      <c r="Y353" s="108"/>
      <c r="Z353" s="108"/>
      <c r="AA353" s="108"/>
      <c r="AB353" s="108"/>
    </row>
    <row r="354" spans="19:34" x14ac:dyDescent="0.25">
      <c r="S354" s="116"/>
      <c r="T354" s="108" t="s">
        <v>116</v>
      </c>
      <c r="U354" s="108">
        <v>0.98</v>
      </c>
      <c r="V354" s="108"/>
      <c r="W354" s="108"/>
      <c r="X354" s="108"/>
      <c r="Y354" s="108"/>
      <c r="Z354" s="108"/>
      <c r="AA354" s="108"/>
      <c r="AB354" s="108"/>
    </row>
    <row r="355" spans="19:34" x14ac:dyDescent="0.25">
      <c r="S355" s="116"/>
      <c r="T355" s="108" t="s">
        <v>106</v>
      </c>
      <c r="U355" s="143">
        <f>U348</f>
        <v>0</v>
      </c>
      <c r="V355" s="108" t="s">
        <v>117</v>
      </c>
      <c r="W355" s="108"/>
      <c r="X355" s="108"/>
      <c r="Y355" s="108"/>
      <c r="Z355" s="108"/>
      <c r="AA355" s="108"/>
      <c r="AB355" s="108"/>
    </row>
    <row r="356" spans="19:34" x14ac:dyDescent="0.25">
      <c r="S356" s="116"/>
      <c r="T356" s="108" t="s">
        <v>118</v>
      </c>
      <c r="U356" s="143">
        <f>C34+273.15</f>
        <v>273.14999999999998</v>
      </c>
      <c r="V356" s="108" t="s">
        <v>49</v>
      </c>
      <c r="W356" s="108"/>
      <c r="X356" s="108"/>
      <c r="Y356" s="108"/>
      <c r="Z356" s="108"/>
      <c r="AA356" s="108"/>
      <c r="AB356" s="108"/>
    </row>
    <row r="357" spans="19:34" x14ac:dyDescent="0.25">
      <c r="S357" s="116"/>
      <c r="T357" s="108"/>
      <c r="U357" s="108"/>
      <c r="V357" s="108"/>
      <c r="W357" s="108"/>
      <c r="X357" s="108"/>
      <c r="Y357" s="108"/>
      <c r="Z357" s="108"/>
      <c r="AA357" s="108"/>
      <c r="AB357" s="108"/>
    </row>
    <row r="358" spans="19:34" x14ac:dyDescent="0.25">
      <c r="S358" s="116"/>
      <c r="T358" s="108" t="s">
        <v>121</v>
      </c>
      <c r="U358" s="108" t="e">
        <f>(0.98*U347*U356)/U355</f>
        <v>#DIV/0!</v>
      </c>
      <c r="V358" s="108" t="s">
        <v>113</v>
      </c>
      <c r="W358" s="108"/>
      <c r="X358" s="108"/>
      <c r="Y358" s="108"/>
      <c r="Z358" s="108"/>
      <c r="AA358" s="108"/>
      <c r="AB358" s="108"/>
    </row>
    <row r="359" spans="19:34" x14ac:dyDescent="0.25"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</row>
    <row r="360" spans="19:34" ht="15.75" thickBot="1" x14ac:dyDescent="0.3">
      <c r="S360" s="116"/>
      <c r="T360" s="116"/>
      <c r="U360" s="116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</row>
    <row r="361" spans="19:34" ht="15.75" thickBot="1" x14ac:dyDescent="0.3">
      <c r="S361" s="116"/>
      <c r="V361" s="162" t="s">
        <v>60</v>
      </c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4"/>
    </row>
    <row r="362" spans="19:34" x14ac:dyDescent="0.25">
      <c r="S362" s="116"/>
      <c r="Y362" s="175" t="s">
        <v>63</v>
      </c>
      <c r="Z362" s="175"/>
      <c r="AA362" s="175"/>
      <c r="AB362" s="175"/>
      <c r="AC362" s="175"/>
      <c r="AD362" s="175"/>
      <c r="AE362" s="175"/>
      <c r="AF362" s="175"/>
      <c r="AG362" s="175"/>
      <c r="AH362" s="175"/>
    </row>
    <row r="363" spans="19:34" ht="17.25" x14ac:dyDescent="0.25">
      <c r="S363" s="116">
        <v>12</v>
      </c>
      <c r="T363" s="70" t="s">
        <v>76</v>
      </c>
      <c r="U363" s="130" t="s">
        <v>77</v>
      </c>
      <c r="V363" s="70" t="s">
        <v>78</v>
      </c>
      <c r="W363" s="70" t="s">
        <v>79</v>
      </c>
      <c r="X363" s="70" t="s">
        <v>80</v>
      </c>
      <c r="Y363" s="131" t="s">
        <v>30</v>
      </c>
      <c r="Z363" s="131" t="s">
        <v>32</v>
      </c>
      <c r="AA363" s="131" t="s">
        <v>81</v>
      </c>
      <c r="AB363" s="131" t="s">
        <v>25</v>
      </c>
      <c r="AC363" s="131" t="s">
        <v>26</v>
      </c>
      <c r="AD363" s="131" t="s">
        <v>27</v>
      </c>
      <c r="AE363" s="131" t="s">
        <v>28</v>
      </c>
      <c r="AF363" s="131" t="s">
        <v>82</v>
      </c>
      <c r="AG363" s="131" t="s">
        <v>29</v>
      </c>
      <c r="AH363" s="132" t="s">
        <v>31</v>
      </c>
    </row>
    <row r="364" spans="19:34" x14ac:dyDescent="0.25">
      <c r="S364" s="116"/>
      <c r="T364" s="70">
        <f>K35</f>
        <v>0.89962333333333322</v>
      </c>
      <c r="U364" s="69">
        <f>+S8*T364</f>
        <v>2.4112670005856584E-5</v>
      </c>
      <c r="V364" s="69">
        <f>$T$364*T364</f>
        <v>0.80932214187777762</v>
      </c>
      <c r="W364" s="69">
        <f>$R$8*R8</f>
        <v>4.2845172623208805E-2</v>
      </c>
      <c r="X364" s="69">
        <f>SQRT(W364)</f>
        <v>0.20699075492207086</v>
      </c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</row>
    <row r="365" spans="19:34" x14ac:dyDescent="0.25">
      <c r="S365" s="116"/>
      <c r="T365" s="70">
        <f>M35</f>
        <v>5.6267083333333343E-2</v>
      </c>
      <c r="U365" s="69">
        <f t="shared" ref="U365:U373" si="111">+S9*T365</f>
        <v>2.280965069907864E-6</v>
      </c>
      <c r="V365" s="69">
        <f t="shared" ref="V365:V373" si="112">$T$364*T365</f>
        <v>5.0619181065277782E-2</v>
      </c>
      <c r="W365" s="69">
        <f t="shared" ref="W365:W373" si="113">$R$8*R9</f>
        <v>0.12918986849197683</v>
      </c>
      <c r="X365" s="69">
        <f t="shared" ref="X365:X373" si="114">SQRT(W365)</f>
        <v>0.35942992153127268</v>
      </c>
      <c r="Y365" s="70">
        <f t="shared" ref="Y365:Y373" si="115">(($T$364*T365)*SQRT($R$8*R9))*(1-B60)</f>
        <v>1.8241352803793579E-2</v>
      </c>
      <c r="Z365" s="70"/>
      <c r="AA365" s="70"/>
      <c r="AB365" s="70"/>
      <c r="AC365" s="70"/>
      <c r="AD365" s="70"/>
      <c r="AE365" s="70"/>
      <c r="AF365" s="70"/>
      <c r="AG365" s="70"/>
      <c r="AH365" s="70"/>
    </row>
    <row r="366" spans="19:34" x14ac:dyDescent="0.25">
      <c r="S366" s="116"/>
      <c r="T366" s="70">
        <f>+E35</f>
        <v>4.6041666666666661E-3</v>
      </c>
      <c r="U366" s="69">
        <f t="shared" si="111"/>
        <v>2.5928949549941895E-7</v>
      </c>
      <c r="V366" s="69">
        <f t="shared" si="112"/>
        <v>4.1420157638888877E-3</v>
      </c>
      <c r="W366" s="69">
        <f t="shared" si="113"/>
        <v>0.24193902239770376</v>
      </c>
      <c r="X366" s="69">
        <f t="shared" si="114"/>
        <v>0.49187297384355622</v>
      </c>
      <c r="Y366" s="70">
        <f t="shared" si="115"/>
        <v>2.0088227729300437E-3</v>
      </c>
      <c r="Z366" s="70">
        <f t="shared" ref="Z366:Z373" si="116">(($T$365*T366)*SQRT($R$9*R10))*(1-B61)</f>
        <v>2.1817179017643838E-4</v>
      </c>
      <c r="AA366" s="70"/>
      <c r="AB366" s="70"/>
      <c r="AC366" s="70"/>
      <c r="AD366" s="70"/>
      <c r="AE366" s="70"/>
      <c r="AF366" s="70"/>
      <c r="AG366" s="70"/>
      <c r="AH366" s="70"/>
    </row>
    <row r="367" spans="19:34" x14ac:dyDescent="0.25">
      <c r="S367" s="116"/>
      <c r="T367" s="70">
        <f>+G35</f>
        <v>5.2041666666666686E-4</v>
      </c>
      <c r="U367" s="69">
        <f t="shared" si="111"/>
        <v>3.7700992807317431E-8</v>
      </c>
      <c r="V367" s="69">
        <f t="shared" si="112"/>
        <v>4.6817897638888899E-4</v>
      </c>
      <c r="W367" s="69">
        <f t="shared" si="113"/>
        <v>0.39059496580954223</v>
      </c>
      <c r="X367" s="69">
        <f t="shared" si="114"/>
        <v>0.62497597218576506</v>
      </c>
      <c r="Y367" s="70">
        <f t="shared" si="115"/>
        <v>2.8511003528588732E-4</v>
      </c>
      <c r="Z367" s="70">
        <f t="shared" si="116"/>
        <v>3.0964885321795255E-5</v>
      </c>
      <c r="AA367" s="70">
        <f t="shared" ref="AA367:AA373" si="117">(($T$366*U367)*SQRT($R$10*S11))*(1-C62)</f>
        <v>1.6079856678009637E-12</v>
      </c>
      <c r="AB367" s="70"/>
      <c r="AC367" s="70"/>
      <c r="AD367" s="70"/>
      <c r="AE367" s="70"/>
      <c r="AF367" s="70"/>
      <c r="AG367" s="70"/>
      <c r="AH367" s="70"/>
    </row>
    <row r="368" spans="19:34" x14ac:dyDescent="0.25">
      <c r="S368" s="116"/>
      <c r="T368" s="70">
        <f>+F35</f>
        <v>5.2541666666666676E-4</v>
      </c>
      <c r="U368" s="69">
        <f t="shared" si="111"/>
        <v>3.8077281933772024E-8</v>
      </c>
      <c r="V368" s="69">
        <f t="shared" si="112"/>
        <v>4.7267709305555557E-4</v>
      </c>
      <c r="W368" s="69">
        <f t="shared" si="113"/>
        <v>0.36453710099529019</v>
      </c>
      <c r="X368" s="69">
        <f t="shared" si="114"/>
        <v>0.60376907919774281</v>
      </c>
      <c r="Y368" s="70">
        <f t="shared" si="115"/>
        <v>2.8159215531603271E-4</v>
      </c>
      <c r="Z368" s="70">
        <f t="shared" si="116"/>
        <v>3.0582819675690718E-5</v>
      </c>
      <c r="AA368" s="70">
        <f t="shared" si="117"/>
        <v>1.5980344647412551E-12</v>
      </c>
      <c r="AB368" s="70">
        <f t="shared" ref="AB368:AB373" si="118">(($T$367*V368)*SQRT($R$11*T368))*(1-D63)</f>
        <v>7.7200476315782726E-9</v>
      </c>
      <c r="AC368" s="70"/>
      <c r="AD368" s="70"/>
      <c r="AE368" s="70"/>
      <c r="AF368" s="70"/>
      <c r="AG368" s="70"/>
      <c r="AH368" s="70"/>
    </row>
    <row r="369" spans="19:34" x14ac:dyDescent="0.25">
      <c r="S369" s="116"/>
      <c r="T369" s="70">
        <f>+I35</f>
        <v>3.7916666666666689E-5</v>
      </c>
      <c r="U369" s="69">
        <f t="shared" si="111"/>
        <v>3.418511670584893E-9</v>
      </c>
      <c r="V369" s="69">
        <f t="shared" si="112"/>
        <v>3.4110718055555571E-5</v>
      </c>
      <c r="W369" s="69">
        <f t="shared" si="113"/>
        <v>0.57891172563229198</v>
      </c>
      <c r="X369" s="69">
        <f t="shared" si="114"/>
        <v>0.76086248799128742</v>
      </c>
      <c r="Y369" s="70">
        <f t="shared" si="115"/>
        <v>2.6098905775438089E-5</v>
      </c>
      <c r="Z369" s="70">
        <f t="shared" si="116"/>
        <v>2.8345183414902513E-6</v>
      </c>
      <c r="AA369" s="70">
        <f t="shared" si="117"/>
        <v>1.6157309637276796E-13</v>
      </c>
      <c r="AB369" s="70">
        <f t="shared" si="118"/>
        <v>1.4849005124625511E-10</v>
      </c>
      <c r="AC369" s="70">
        <f>(($T$368*W369)*SQRT($R$12*U369))*(1-E64)</f>
        <v>2.3600984406498962E-8</v>
      </c>
      <c r="AD369" s="70"/>
      <c r="AE369" s="70"/>
      <c r="AF369" s="70"/>
      <c r="AG369" s="70"/>
      <c r="AH369" s="70"/>
    </row>
    <row r="370" spans="19:34" x14ac:dyDescent="0.25">
      <c r="S370" s="116"/>
      <c r="T370" s="70">
        <f>+H35</f>
        <v>4.9166666666666692E-5</v>
      </c>
      <c r="U370" s="69">
        <f t="shared" si="111"/>
        <v>4.3321714631264311E-9</v>
      </c>
      <c r="V370" s="69">
        <f t="shared" si="112"/>
        <v>4.4231480555555571E-5</v>
      </c>
      <c r="W370" s="69">
        <f t="shared" si="113"/>
        <v>0.54235185847350886</v>
      </c>
      <c r="X370" s="69">
        <f t="shared" si="114"/>
        <v>0.73644542124553181</v>
      </c>
      <c r="Y370" s="70">
        <f t="shared" si="115"/>
        <v>3.1824867689458531E-5</v>
      </c>
      <c r="Z370" s="70">
        <f t="shared" si="116"/>
        <v>3.4563966764524806E-6</v>
      </c>
      <c r="AA370" s="70">
        <f t="shared" si="117"/>
        <v>2.0084028018780325E-13</v>
      </c>
      <c r="AB370" s="70">
        <f t="shared" si="118"/>
        <v>2.1580058919511357E-10</v>
      </c>
      <c r="AC370" s="70">
        <f>(($T$368*W370)*SQRT($R$12*U370))*(1-E65)</f>
        <v>2.4890475292078469E-8</v>
      </c>
      <c r="AD370" s="70">
        <f>(($T$369*X370)*SQRT($R$13*V370))*(1-F65)</f>
        <v>3.1057547215324452E-7</v>
      </c>
      <c r="AE370" s="70"/>
      <c r="AF370" s="70"/>
      <c r="AG370" s="70"/>
      <c r="AH370" s="70"/>
    </row>
    <row r="371" spans="19:34" x14ac:dyDescent="0.25">
      <c r="S371" s="116"/>
      <c r="T371" s="70">
        <f>+D35</f>
        <v>1.2041666666666672E-4</v>
      </c>
      <c r="U371" s="69">
        <f t="shared" si="111"/>
        <v>1.3070707393200997E-8</v>
      </c>
      <c r="V371" s="69">
        <f t="shared" si="112"/>
        <v>1.0832964305555558E-4</v>
      </c>
      <c r="W371" s="69">
        <f t="shared" si="113"/>
        <v>0.8050809492880614</v>
      </c>
      <c r="X371" s="69">
        <f t="shared" si="114"/>
        <v>0.89726303238685889</v>
      </c>
      <c r="Y371" s="70">
        <f t="shared" si="115"/>
        <v>9.3098336259541366E-5</v>
      </c>
      <c r="Z371" s="70">
        <f t="shared" si="116"/>
        <v>1.0111111322461845E-5</v>
      </c>
      <c r="AA371" s="70">
        <f t="shared" si="117"/>
        <v>6.8462891076949551E-13</v>
      </c>
      <c r="AB371" s="70">
        <f t="shared" si="118"/>
        <v>8.492304215892228E-10</v>
      </c>
      <c r="AC371" s="70">
        <f>(($T$368*W371)*SQRT($R$12*U371))*(1-E66)</f>
        <v>6.4178318560239234E-8</v>
      </c>
      <c r="AD371" s="70">
        <f>(($T$369*X371)*SQRT($R$13*V371))*(1-F66)</f>
        <v>5.9549695511226143E-7</v>
      </c>
      <c r="AE371" s="70">
        <f>(($T$370*Y371)*SQRT($R$14*W371))*(1-G66)</f>
        <v>6.6481001399051423E-9</v>
      </c>
      <c r="AF371" s="70"/>
      <c r="AG371" s="70"/>
      <c r="AH371" s="70"/>
    </row>
    <row r="372" spans="19:34" x14ac:dyDescent="0.25">
      <c r="S372" s="116"/>
      <c r="T372" s="70">
        <f>+J35</f>
        <v>3.6752499999999994E-2</v>
      </c>
      <c r="U372" s="69">
        <f t="shared" si="111"/>
        <v>8.8243673910685541E-7</v>
      </c>
      <c r="V372" s="69">
        <f t="shared" si="112"/>
        <v>3.3063406558333321E-2</v>
      </c>
      <c r="W372" s="69">
        <f t="shared" si="113"/>
        <v>1.8651528335962096E-2</v>
      </c>
      <c r="X372" s="69">
        <f t="shared" si="114"/>
        <v>0.13657059835836591</v>
      </c>
      <c r="Y372" s="70">
        <f t="shared" si="115"/>
        <v>4.3750575027751946E-3</v>
      </c>
      <c r="Z372" s="70">
        <f t="shared" si="116"/>
        <v>4.7516094519034144E-4</v>
      </c>
      <c r="AA372" s="70">
        <f t="shared" si="117"/>
        <v>2.0414924895890922E-11</v>
      </c>
      <c r="AB372" s="70">
        <f t="shared" si="118"/>
        <v>4.1453026080978425E-6</v>
      </c>
      <c r="AC372" s="70">
        <f>(($T$368*W372)*SQRT($R$12*U372))*(1-E67)</f>
        <v>1.095475383805349E-8</v>
      </c>
      <c r="AD372" s="70">
        <f>(($T$369*X372)*SQRT($R$13*V372))*(1-F67)</f>
        <v>1.4487040947681253E-6</v>
      </c>
      <c r="AE372" s="70">
        <f>(($T$370*Y372)*SQRT($R$14*W372))*(1-G67)</f>
        <v>4.3168505519048269E-8</v>
      </c>
      <c r="AF372" s="70">
        <f>(($T$371*Z372)*SQRT($R$15*X372))*(1-H67)</f>
        <v>3.7531226306202364E-8</v>
      </c>
      <c r="AG372" s="70"/>
      <c r="AH372" s="70"/>
    </row>
    <row r="373" spans="19:34" x14ac:dyDescent="0.25">
      <c r="S373" s="116"/>
      <c r="T373" s="70">
        <f>L35</f>
        <v>1.5008333333333334E-3</v>
      </c>
      <c r="U373" s="69">
        <f t="shared" si="111"/>
        <v>4.0002703334107672E-8</v>
      </c>
      <c r="V373" s="69">
        <f t="shared" si="112"/>
        <v>1.350184686111111E-3</v>
      </c>
      <c r="W373" s="69">
        <f t="shared" si="113"/>
        <v>8.5334097849090448E-2</v>
      </c>
      <c r="X373" s="69">
        <f t="shared" si="114"/>
        <v>0.29212000590355064</v>
      </c>
      <c r="Y373" s="70">
        <f t="shared" si="115"/>
        <v>3.581691318935643E-4</v>
      </c>
      <c r="Z373" s="70">
        <f t="shared" si="116"/>
        <v>3.889959918026131E-5</v>
      </c>
      <c r="AA373" s="70">
        <f t="shared" si="117"/>
        <v>8.9210494629810547E-13</v>
      </c>
      <c r="AB373" s="70">
        <f t="shared" si="118"/>
        <v>3.2753142961389934E-8</v>
      </c>
      <c r="AC373" s="70">
        <f>(($T$368*W373)*SQRT($R$12*U373))*(1-E68)</f>
        <v>1.0472471393619044E-8</v>
      </c>
      <c r="AD373" s="70">
        <f>(($T$369*X373)*SQRT($R$13*V373))*(1-F68)</f>
        <v>5.8991241429028326E-7</v>
      </c>
      <c r="AE373" s="70">
        <f>(($T$370*Y373)*SQRT($R$14*W373))*(1-G68)</f>
        <v>6.5033383042185829E-9</v>
      </c>
      <c r="AF373" s="70">
        <f>(($T$371*Z373)*SQRT($R$15*X373))*(1-H68)</f>
        <v>4.3828060764291407E-9</v>
      </c>
      <c r="AG373" s="70">
        <f>(($T$372*AA373)*SQRT($R$16*Y373))*(1-I68)</f>
        <v>1.6577485447667778E-16</v>
      </c>
      <c r="AH373" s="70"/>
    </row>
    <row r="374" spans="19:34" x14ac:dyDescent="0.25">
      <c r="S374" s="116"/>
      <c r="T374" s="130" t="s">
        <v>77</v>
      </c>
      <c r="U374" s="133">
        <f>SUM(U364:U373)</f>
        <v>2.7671963678972833E-5</v>
      </c>
      <c r="V374" s="108"/>
      <c r="W374" s="108"/>
      <c r="X374" s="108"/>
      <c r="Y374" s="70">
        <f>SUM(Y365:Y373)</f>
        <v>2.5701126511718738E-2</v>
      </c>
      <c r="Z374" s="70">
        <f t="shared" ref="Z374:AG374" si="119">SUM(Z365:Z373)</f>
        <v>8.1018206588493174E-4</v>
      </c>
      <c r="AA374" s="70">
        <f t="shared" si="119"/>
        <v>2.5560092262061314E-11</v>
      </c>
      <c r="AB374" s="70">
        <f t="shared" si="119"/>
        <v>4.186989319752841E-6</v>
      </c>
      <c r="AC374" s="70">
        <f t="shared" si="119"/>
        <v>1.340970034904892E-7</v>
      </c>
      <c r="AD374" s="70">
        <f t="shared" si="119"/>
        <v>2.9446889363239148E-6</v>
      </c>
      <c r="AE374" s="70">
        <f t="shared" si="119"/>
        <v>5.6319943963171993E-8</v>
      </c>
      <c r="AF374" s="70">
        <f t="shared" si="119"/>
        <v>4.1914032382631501E-8</v>
      </c>
      <c r="AG374" s="70">
        <f t="shared" si="119"/>
        <v>1.6577485447667778E-16</v>
      </c>
      <c r="AH374" s="130">
        <f>SUM(Y374:AG374)</f>
        <v>2.6518672612399843E-2</v>
      </c>
    </row>
    <row r="375" spans="19:34" x14ac:dyDescent="0.25">
      <c r="S375" s="116"/>
    </row>
    <row r="376" spans="19:34" x14ac:dyDescent="0.25">
      <c r="S376" s="116"/>
      <c r="T376" s="112" t="s">
        <v>99</v>
      </c>
      <c r="U376" s="108"/>
      <c r="V376" s="108"/>
      <c r="W376" s="108"/>
      <c r="X376" s="108"/>
      <c r="Y376" s="108"/>
      <c r="Z376" s="108"/>
      <c r="AA376" s="108"/>
      <c r="AB376" s="108"/>
    </row>
    <row r="377" spans="19:34" x14ac:dyDescent="0.25">
      <c r="S377" s="116"/>
      <c r="T377" s="137" t="s">
        <v>100</v>
      </c>
      <c r="U377" s="138">
        <f>+AH374</f>
        <v>2.6518672612399843E-2</v>
      </c>
      <c r="V377" s="138" t="s">
        <v>101</v>
      </c>
      <c r="W377" s="139"/>
      <c r="X377" s="108"/>
      <c r="Y377" s="108"/>
      <c r="Z377" s="108"/>
      <c r="AA377" s="108"/>
      <c r="AB377" s="108"/>
    </row>
    <row r="378" spans="19:34" x14ac:dyDescent="0.25">
      <c r="S378" s="116"/>
      <c r="T378" s="137" t="s">
        <v>103</v>
      </c>
      <c r="U378" s="138">
        <f>+U374</f>
        <v>2.7671963678972833E-5</v>
      </c>
      <c r="V378" s="138" t="s">
        <v>101</v>
      </c>
      <c r="W378" s="108"/>
      <c r="X378" s="108"/>
      <c r="Y378" s="108"/>
      <c r="Z378" s="140" t="e">
        <f>(U382*U382)+(2*U378*U382)-(U378*U378)</f>
        <v>#DIV/0!</v>
      </c>
      <c r="AA378" s="108"/>
      <c r="AB378" s="108"/>
    </row>
    <row r="379" spans="19:34" x14ac:dyDescent="0.25">
      <c r="S379" s="116"/>
      <c r="T379" s="137" t="s">
        <v>104</v>
      </c>
      <c r="U379" s="138">
        <v>8.3145100000000003</v>
      </c>
      <c r="V379" s="138" t="s">
        <v>105</v>
      </c>
      <c r="W379" s="108"/>
      <c r="X379" s="108"/>
      <c r="Y379" s="108"/>
      <c r="Z379" s="140"/>
      <c r="AA379" s="108"/>
      <c r="AB379" s="108"/>
    </row>
    <row r="380" spans="19:34" x14ac:dyDescent="0.25">
      <c r="S380" s="116"/>
      <c r="T380" s="137" t="s">
        <v>106</v>
      </c>
      <c r="U380" s="141">
        <f>B35*98066.5</f>
        <v>0</v>
      </c>
      <c r="V380" s="142" t="s">
        <v>107</v>
      </c>
      <c r="W380" s="108"/>
      <c r="X380" s="108"/>
      <c r="Y380" s="108"/>
      <c r="Z380" s="140" t="e">
        <f>U377/Z378</f>
        <v>#DIV/0!</v>
      </c>
      <c r="AA380" s="108"/>
      <c r="AB380" s="108"/>
    </row>
    <row r="381" spans="19:34" x14ac:dyDescent="0.25">
      <c r="S381" s="116"/>
      <c r="T381" s="137" t="s">
        <v>108</v>
      </c>
      <c r="U381" s="141" t="s">
        <v>109</v>
      </c>
      <c r="V381" s="138" t="s">
        <v>110</v>
      </c>
      <c r="W381" s="108"/>
      <c r="X381" s="108"/>
      <c r="Y381" s="108"/>
      <c r="Z381" s="140"/>
      <c r="AA381" s="108"/>
      <c r="AB381" s="108"/>
    </row>
    <row r="382" spans="19:34" x14ac:dyDescent="0.25">
      <c r="S382" s="116"/>
      <c r="T382" s="137" t="s">
        <v>112</v>
      </c>
      <c r="U382" s="138" t="e">
        <f>+U390</f>
        <v>#DIV/0!</v>
      </c>
      <c r="V382" s="138" t="s">
        <v>113</v>
      </c>
      <c r="W382" s="108"/>
      <c r="X382" s="108"/>
      <c r="Y382" s="108"/>
      <c r="Z382" s="140" t="e">
        <f>U382-U378</f>
        <v>#DIV/0!</v>
      </c>
      <c r="AA382" s="108"/>
      <c r="AB382" s="108"/>
    </row>
    <row r="383" spans="19:34" x14ac:dyDescent="0.25">
      <c r="S383" s="116"/>
      <c r="T383" s="108"/>
      <c r="U383" s="108"/>
      <c r="V383" s="108"/>
      <c r="W383" s="108"/>
      <c r="X383" s="108"/>
      <c r="Y383" s="108"/>
      <c r="Z383" s="108"/>
      <c r="AA383" s="108"/>
      <c r="AB383" s="108"/>
    </row>
    <row r="384" spans="19:34" x14ac:dyDescent="0.25">
      <c r="S384" s="116"/>
      <c r="T384" s="108"/>
      <c r="U384" s="108"/>
      <c r="V384" s="108"/>
      <c r="W384" s="108"/>
      <c r="X384" s="108"/>
      <c r="Y384" s="108"/>
      <c r="Z384" s="108"/>
      <c r="AA384" s="108"/>
      <c r="AB384" s="108"/>
    </row>
    <row r="385" spans="19:34" x14ac:dyDescent="0.25">
      <c r="S385" s="116"/>
      <c r="T385" s="108"/>
      <c r="U385" s="108"/>
      <c r="V385" s="108"/>
      <c r="W385" s="108"/>
      <c r="X385" s="108"/>
      <c r="Y385" s="108"/>
      <c r="Z385" s="108"/>
      <c r="AA385" s="108"/>
      <c r="AB385" s="108"/>
    </row>
    <row r="386" spans="19:34" x14ac:dyDescent="0.25">
      <c r="S386" s="116"/>
      <c r="T386" s="108" t="s">
        <v>116</v>
      </c>
      <c r="U386" s="108">
        <v>0.98</v>
      </c>
      <c r="V386" s="108"/>
      <c r="W386" s="108"/>
      <c r="X386" s="108"/>
      <c r="Y386" s="108"/>
      <c r="Z386" s="108"/>
      <c r="AA386" s="108"/>
      <c r="AB386" s="108"/>
    </row>
    <row r="387" spans="19:34" x14ac:dyDescent="0.25">
      <c r="S387" s="116"/>
      <c r="T387" s="108" t="s">
        <v>106</v>
      </c>
      <c r="U387" s="143">
        <f>U380</f>
        <v>0</v>
      </c>
      <c r="V387" s="108" t="s">
        <v>117</v>
      </c>
      <c r="W387" s="108"/>
      <c r="X387" s="108"/>
      <c r="Y387" s="108"/>
      <c r="Z387" s="108"/>
      <c r="AA387" s="108"/>
      <c r="AB387" s="108"/>
    </row>
    <row r="388" spans="19:34" x14ac:dyDescent="0.25">
      <c r="S388" s="116"/>
      <c r="T388" s="108" t="s">
        <v>118</v>
      </c>
      <c r="U388" s="143">
        <f>C35+273.15</f>
        <v>273.14999999999998</v>
      </c>
      <c r="V388" s="108" t="s">
        <v>49</v>
      </c>
      <c r="W388" s="108"/>
      <c r="X388" s="108"/>
      <c r="Y388" s="108"/>
      <c r="Z388" s="108"/>
      <c r="AA388" s="108"/>
      <c r="AB388" s="108"/>
    </row>
    <row r="389" spans="19:34" x14ac:dyDescent="0.25">
      <c r="S389" s="116"/>
      <c r="T389" s="108"/>
      <c r="U389" s="108"/>
      <c r="V389" s="108"/>
      <c r="W389" s="108"/>
      <c r="X389" s="108"/>
      <c r="Y389" s="108"/>
      <c r="Z389" s="108"/>
      <c r="AA389" s="108"/>
      <c r="AB389" s="108"/>
    </row>
    <row r="390" spans="19:34" x14ac:dyDescent="0.25">
      <c r="S390" s="116"/>
      <c r="T390" s="108" t="s">
        <v>121</v>
      </c>
      <c r="U390" s="108" t="e">
        <f>(0.98*U379*U388)/U387</f>
        <v>#DIV/0!</v>
      </c>
      <c r="V390" s="108" t="s">
        <v>113</v>
      </c>
      <c r="W390" s="108"/>
      <c r="X390" s="108"/>
      <c r="Y390" s="108"/>
      <c r="Z390" s="108"/>
      <c r="AA390" s="108"/>
      <c r="AB390" s="108"/>
    </row>
    <row r="391" spans="19:34" x14ac:dyDescent="0.25">
      <c r="S391" s="116"/>
      <c r="T391" s="116"/>
      <c r="U391" s="129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</row>
    <row r="392" spans="19:34" ht="15.75" thickBot="1" x14ac:dyDescent="0.3"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</row>
    <row r="393" spans="19:34" ht="15.75" thickBot="1" x14ac:dyDescent="0.3">
      <c r="S393" s="116"/>
      <c r="V393" s="162" t="s">
        <v>60</v>
      </c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4"/>
    </row>
    <row r="394" spans="19:34" x14ac:dyDescent="0.25">
      <c r="S394" s="116"/>
      <c r="Y394" s="175" t="s">
        <v>63</v>
      </c>
      <c r="Z394" s="175"/>
      <c r="AA394" s="175"/>
      <c r="AB394" s="175"/>
      <c r="AC394" s="175"/>
      <c r="AD394" s="175"/>
      <c r="AE394" s="175"/>
      <c r="AF394" s="175"/>
      <c r="AG394" s="175"/>
      <c r="AH394" s="175"/>
    </row>
    <row r="395" spans="19:34" ht="17.25" x14ac:dyDescent="0.25">
      <c r="S395" s="116">
        <v>13</v>
      </c>
      <c r="T395" s="70" t="s">
        <v>76</v>
      </c>
      <c r="U395" s="130" t="s">
        <v>77</v>
      </c>
      <c r="V395" s="70" t="s">
        <v>78</v>
      </c>
      <c r="W395" s="70" t="s">
        <v>79</v>
      </c>
      <c r="X395" s="70" t="s">
        <v>80</v>
      </c>
      <c r="Y395" s="131" t="s">
        <v>30</v>
      </c>
      <c r="Z395" s="131" t="s">
        <v>32</v>
      </c>
      <c r="AA395" s="131" t="s">
        <v>81</v>
      </c>
      <c r="AB395" s="131" t="s">
        <v>25</v>
      </c>
      <c r="AC395" s="131" t="s">
        <v>26</v>
      </c>
      <c r="AD395" s="131" t="s">
        <v>27</v>
      </c>
      <c r="AE395" s="131" t="s">
        <v>28</v>
      </c>
      <c r="AF395" s="131" t="s">
        <v>82</v>
      </c>
      <c r="AG395" s="131" t="s">
        <v>29</v>
      </c>
      <c r="AH395" s="132" t="s">
        <v>31</v>
      </c>
    </row>
    <row r="396" spans="19:34" x14ac:dyDescent="0.25">
      <c r="S396" s="116"/>
      <c r="T396" s="70">
        <f>K36</f>
        <v>0.89498374999999997</v>
      </c>
      <c r="U396" s="69">
        <f>+S8*T396</f>
        <v>2.3988314914413124E-5</v>
      </c>
      <c r="V396" s="69">
        <f>$T$396*T396</f>
        <v>0.80099591276406246</v>
      </c>
      <c r="W396" s="69">
        <f>$R$8*R8</f>
        <v>4.2845172623208805E-2</v>
      </c>
      <c r="X396" s="69">
        <f>SQRT(W396)</f>
        <v>0.20699075492207086</v>
      </c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</row>
    <row r="397" spans="19:34" x14ac:dyDescent="0.25">
      <c r="S397" s="116"/>
      <c r="T397" s="70">
        <f>M36</f>
        <v>5.2792916666666675E-2</v>
      </c>
      <c r="U397" s="69">
        <f t="shared" ref="U397:U405" si="120">+S9*T397</f>
        <v>2.1401286813081665E-6</v>
      </c>
      <c r="V397" s="69">
        <f t="shared" ref="V397:V405" si="121">$T$396*T397</f>
        <v>4.7248802531770842E-2</v>
      </c>
      <c r="W397" s="69">
        <f t="shared" ref="W397:W405" si="122">$R$8*R9</f>
        <v>0.12918986849197683</v>
      </c>
      <c r="X397" s="69">
        <f t="shared" ref="X397:X405" si="123">SQRT(W397)</f>
        <v>0.35942992153127268</v>
      </c>
      <c r="Y397" s="70">
        <f t="shared" ref="Y397:Y405" si="124">(($T$396*T397)*SQRT($R$8*R9))*(1-B60)</f>
        <v>1.7026788233245736E-2</v>
      </c>
      <c r="Z397" s="70"/>
      <c r="AA397" s="70"/>
      <c r="AB397" s="70"/>
      <c r="AC397" s="70"/>
      <c r="AD397" s="70"/>
      <c r="AE397" s="70"/>
      <c r="AF397" s="70"/>
      <c r="AG397" s="70"/>
      <c r="AH397" s="70"/>
    </row>
    <row r="398" spans="19:34" x14ac:dyDescent="0.25">
      <c r="S398" s="116"/>
      <c r="T398" s="70">
        <f>+E36</f>
        <v>5.2720833333333317E-3</v>
      </c>
      <c r="U398" s="69">
        <f t="shared" si="120"/>
        <v>2.9690407118137084E-7</v>
      </c>
      <c r="V398" s="69">
        <f t="shared" si="121"/>
        <v>4.7184289119791651E-3</v>
      </c>
      <c r="W398" s="69">
        <f t="shared" si="122"/>
        <v>0.24193902239770376</v>
      </c>
      <c r="X398" s="69">
        <f t="shared" si="123"/>
        <v>0.49187297384355622</v>
      </c>
      <c r="Y398" s="70">
        <f t="shared" si="124"/>
        <v>2.2883755135533427E-3</v>
      </c>
      <c r="Z398" s="70">
        <f t="shared" ref="Z398:Z405" si="125">(($T$397*T398)*SQRT($R$9*R10))*(1-B61)</f>
        <v>2.3439647589828128E-4</v>
      </c>
      <c r="AA398" s="70"/>
      <c r="AB398" s="70"/>
      <c r="AC398" s="70"/>
      <c r="AD398" s="70"/>
      <c r="AE398" s="70"/>
      <c r="AF398" s="70"/>
      <c r="AG398" s="70"/>
      <c r="AH398" s="70"/>
    </row>
    <row r="399" spans="19:34" x14ac:dyDescent="0.25">
      <c r="S399" s="116"/>
      <c r="T399" s="70">
        <f>+G36</f>
        <v>5.3500000000000021E-4</v>
      </c>
      <c r="U399" s="69">
        <f t="shared" si="120"/>
        <v>3.8757465784303911E-8</v>
      </c>
      <c r="V399" s="69">
        <f t="shared" si="121"/>
        <v>4.7881630625000015E-4</v>
      </c>
      <c r="W399" s="69">
        <f t="shared" si="122"/>
        <v>0.39059496580954223</v>
      </c>
      <c r="X399" s="69">
        <f t="shared" si="123"/>
        <v>0.62497597218576506</v>
      </c>
      <c r="Y399" s="70">
        <f t="shared" si="124"/>
        <v>2.9158792012266794E-4</v>
      </c>
      <c r="Z399" s="70">
        <f t="shared" si="125"/>
        <v>2.986711773765433E-5</v>
      </c>
      <c r="AA399" s="70">
        <f t="shared" ref="AA399:AA405" si="126">(($T$398*U399)*SQRT($R$10*S11))*(1-C62)</f>
        <v>1.8928490824236801E-12</v>
      </c>
      <c r="AB399" s="70"/>
      <c r="AC399" s="70"/>
      <c r="AD399" s="70"/>
      <c r="AE399" s="70"/>
      <c r="AF399" s="70"/>
      <c r="AG399" s="70"/>
      <c r="AH399" s="70"/>
    </row>
    <row r="400" spans="19:34" x14ac:dyDescent="0.25">
      <c r="S400" s="116"/>
      <c r="T400" s="70">
        <f>+F36</f>
        <v>4.9041666666666678E-4</v>
      </c>
      <c r="U400" s="69">
        <f t="shared" si="120"/>
        <v>3.5540809544845098E-8</v>
      </c>
      <c r="V400" s="69">
        <f t="shared" si="121"/>
        <v>4.3891494739583343E-4</v>
      </c>
      <c r="W400" s="69">
        <f t="shared" si="122"/>
        <v>0.36453710099529019</v>
      </c>
      <c r="X400" s="69">
        <f t="shared" si="123"/>
        <v>0.60376907919774281</v>
      </c>
      <c r="Y400" s="70">
        <f t="shared" si="124"/>
        <v>2.6147873009595851E-4</v>
      </c>
      <c r="Z400" s="70">
        <f t="shared" si="125"/>
        <v>2.6783057454447732E-5</v>
      </c>
      <c r="AA400" s="70">
        <f t="shared" si="126"/>
        <v>1.7079641387070361E-12</v>
      </c>
      <c r="AB400" s="70">
        <f t="shared" ref="AB400:AB405" si="127">(($T$399*V400)*SQRT($R$11*T400))*(1-D63)</f>
        <v>7.1198208918009744E-9</v>
      </c>
      <c r="AC400" s="70"/>
      <c r="AD400" s="70"/>
      <c r="AE400" s="70"/>
      <c r="AF400" s="70"/>
      <c r="AG400" s="70"/>
      <c r="AH400" s="70"/>
    </row>
    <row r="401" spans="19:34" x14ac:dyDescent="0.25">
      <c r="S401" s="116"/>
      <c r="T401" s="70">
        <f>+I36</f>
        <v>5.6666666666666678E-5</v>
      </c>
      <c r="U401" s="69">
        <f t="shared" si="120"/>
        <v>5.1089844747202773E-9</v>
      </c>
      <c r="V401" s="69">
        <f t="shared" si="121"/>
        <v>5.0715745833333344E-5</v>
      </c>
      <c r="W401" s="69">
        <f t="shared" si="122"/>
        <v>0.57891172563229198</v>
      </c>
      <c r="X401" s="69">
        <f t="shared" si="123"/>
        <v>0.76086248799128742</v>
      </c>
      <c r="Y401" s="70">
        <f t="shared" si="124"/>
        <v>3.880379972299225E-5</v>
      </c>
      <c r="Z401" s="70">
        <f t="shared" si="125"/>
        <v>3.9746422091402375E-6</v>
      </c>
      <c r="AA401" s="70">
        <f t="shared" si="126"/>
        <v>2.765016924300432E-13</v>
      </c>
      <c r="AB401" s="70">
        <f t="shared" si="127"/>
        <v>2.7746017474638854E-10</v>
      </c>
      <c r="AC401" s="70">
        <f>(($T$400*W401)*SQRT($R$12*U401))*(1-E64)</f>
        <v>2.6930241762005998E-8</v>
      </c>
      <c r="AD401" s="70"/>
      <c r="AE401" s="70"/>
      <c r="AF401" s="70"/>
      <c r="AG401" s="70"/>
      <c r="AH401" s="70"/>
    </row>
    <row r="402" spans="19:34" x14ac:dyDescent="0.25">
      <c r="S402" s="116"/>
      <c r="T402" s="70">
        <f>+H36</f>
        <v>6.6250000000000025E-5</v>
      </c>
      <c r="U402" s="69">
        <f t="shared" si="120"/>
        <v>5.8374174799754441E-9</v>
      </c>
      <c r="V402" s="69">
        <f t="shared" si="121"/>
        <v>5.929267343750002E-5</v>
      </c>
      <c r="W402" s="69">
        <f t="shared" si="122"/>
        <v>0.54235185847350886</v>
      </c>
      <c r="X402" s="69">
        <f t="shared" si="123"/>
        <v>0.73644542124553181</v>
      </c>
      <c r="Y402" s="70">
        <f t="shared" si="124"/>
        <v>4.2661504055525031E-5</v>
      </c>
      <c r="Z402" s="70">
        <f t="shared" si="125"/>
        <v>4.3697837823862918E-6</v>
      </c>
      <c r="AA402" s="70">
        <f t="shared" si="126"/>
        <v>3.0988258176960464E-13</v>
      </c>
      <c r="AB402" s="70">
        <f t="shared" si="127"/>
        <v>3.4520917178668517E-10</v>
      </c>
      <c r="AC402" s="70">
        <f>(($T$400*W402)*SQRT($R$12*U402))*(1-E65)</f>
        <v>2.6968210193248636E-8</v>
      </c>
      <c r="AD402" s="70">
        <f>(($T$401*X402)*SQRT($R$13*V402))*(1-F65)</f>
        <v>5.3740221006758985E-7</v>
      </c>
      <c r="AE402" s="70"/>
      <c r="AF402" s="70"/>
      <c r="AG402" s="70"/>
      <c r="AH402" s="70"/>
    </row>
    <row r="403" spans="19:34" x14ac:dyDescent="0.25">
      <c r="S403" s="116"/>
      <c r="T403" s="70">
        <f>+D36</f>
        <v>1.3416666666666668E-4</v>
      </c>
      <c r="U403" s="69">
        <f t="shared" si="120"/>
        <v>1.4563210313531901E-8</v>
      </c>
      <c r="V403" s="69">
        <f t="shared" si="121"/>
        <v>1.2007698645833335E-4</v>
      </c>
      <c r="W403" s="69">
        <f t="shared" si="122"/>
        <v>0.8050809492880614</v>
      </c>
      <c r="X403" s="69">
        <f t="shared" si="123"/>
        <v>0.89726303238685889</v>
      </c>
      <c r="Y403" s="70">
        <f t="shared" si="124"/>
        <v>1.0319398593972391E-4</v>
      </c>
      <c r="Z403" s="70">
        <f t="shared" si="125"/>
        <v>1.0570077548421659E-5</v>
      </c>
      <c r="AA403" s="70">
        <f t="shared" si="126"/>
        <v>8.7346296130053337E-13</v>
      </c>
      <c r="AB403" s="70">
        <f t="shared" si="127"/>
        <v>1.0214558757349399E-9</v>
      </c>
      <c r="AC403" s="70">
        <f>(($T$400*W403)*SQRT($R$12*U403))*(1-E66)</f>
        <v>6.3230807102414469E-8</v>
      </c>
      <c r="AD403" s="70">
        <f>(($T$401*X403)*SQRT($R$13*V403))*(1-F66)</f>
        <v>9.3698641693316661E-7</v>
      </c>
      <c r="AE403" s="70">
        <f>(($T$402*Y403)*SQRT($R$14*W403))*(1-G66)</f>
        <v>9.9294487236955034E-9</v>
      </c>
      <c r="AF403" s="70"/>
      <c r="AG403" s="70"/>
      <c r="AH403" s="70"/>
    </row>
    <row r="404" spans="19:34" x14ac:dyDescent="0.25">
      <c r="S404" s="116"/>
      <c r="T404" s="70">
        <f>+J36</f>
        <v>4.4344999999999989E-2</v>
      </c>
      <c r="U404" s="69">
        <f t="shared" si="120"/>
        <v>1.0647345675993062E-6</v>
      </c>
      <c r="V404" s="69">
        <f t="shared" si="121"/>
        <v>3.9688054393749991E-2</v>
      </c>
      <c r="W404" s="69">
        <f t="shared" si="122"/>
        <v>1.8651528335962096E-2</v>
      </c>
      <c r="X404" s="69">
        <f t="shared" si="123"/>
        <v>0.13657059835836591</v>
      </c>
      <c r="Y404" s="70">
        <f t="shared" si="124"/>
        <v>5.2516524526769375E-3</v>
      </c>
      <c r="Z404" s="70">
        <f t="shared" si="125"/>
        <v>5.3792256570627959E-4</v>
      </c>
      <c r="AA404" s="70">
        <f t="shared" si="126"/>
        <v>2.8205693970554039E-11</v>
      </c>
      <c r="AB404" s="70">
        <f t="shared" si="127"/>
        <v>5.6188821504697301E-6</v>
      </c>
      <c r="AC404" s="70">
        <f>(($T$400*W404)*SQRT($R$12*U404))*(1-E67)</f>
        <v>1.1231632524853382E-8</v>
      </c>
      <c r="AD404" s="70">
        <f>(($T$401*X404)*SQRT($R$13*V404))*(1-F67)</f>
        <v>2.3721017266703756E-6</v>
      </c>
      <c r="AE404" s="70">
        <f>(($T$402*Y404)*SQRT($R$14*W404))*(1-G67)</f>
        <v>6.9822330860501533E-8</v>
      </c>
      <c r="AF404" s="70">
        <f>(($T$403*Z404)*SQRT($R$15*X404))*(1-H67)</f>
        <v>4.73401695997768E-8</v>
      </c>
      <c r="AG404" s="70"/>
      <c r="AH404" s="70"/>
    </row>
    <row r="405" spans="19:34" x14ac:dyDescent="0.25">
      <c r="S405" s="116"/>
      <c r="T405" s="70">
        <f>L36</f>
        <v>1.3225000000000001E-3</v>
      </c>
      <c r="U405" s="69">
        <f t="shared" si="120"/>
        <v>3.5249467068977725E-8</v>
      </c>
      <c r="V405" s="69">
        <f t="shared" si="121"/>
        <v>1.1836160093750001E-3</v>
      </c>
      <c r="W405" s="69">
        <f t="shared" si="122"/>
        <v>8.5334097849090448E-2</v>
      </c>
      <c r="X405" s="69">
        <f t="shared" si="123"/>
        <v>0.29212000590355064</v>
      </c>
      <c r="Y405" s="70">
        <f t="shared" si="124"/>
        <v>3.1398276319827978E-4</v>
      </c>
      <c r="Z405" s="70">
        <f t="shared" si="125"/>
        <v>3.2161003624882464E-5</v>
      </c>
      <c r="AA405" s="70">
        <f t="shared" si="126"/>
        <v>9.0014068435103956E-13</v>
      </c>
      <c r="AB405" s="70">
        <f t="shared" si="127"/>
        <v>2.7707977479942458E-8</v>
      </c>
      <c r="AC405" s="70">
        <f>(($T$400*W405)*SQRT($R$12*U405))*(1-E68)</f>
        <v>9.1757625411076663E-9</v>
      </c>
      <c r="AD405" s="70">
        <f>(($T$401*X405)*SQRT($R$13*V405))*(1-F68)</f>
        <v>8.2545590404109931E-7</v>
      </c>
      <c r="AE405" s="70">
        <f>(($T$402*Y405)*SQRT($R$14*W405))*(1-G68)</f>
        <v>7.6819082620307368E-9</v>
      </c>
      <c r="AF405" s="70">
        <f>(($T$403*Z405)*SQRT($R$15*X405))*(1-H68)</f>
        <v>4.037334664533718E-9</v>
      </c>
      <c r="AG405" s="70">
        <f>(($T$404*AA405)*SQRT($R$16*Y405))*(1-I68)</f>
        <v>1.8896427200912638E-16</v>
      </c>
      <c r="AH405" s="70"/>
    </row>
    <row r="406" spans="19:34" x14ac:dyDescent="0.25">
      <c r="S406" s="116"/>
      <c r="T406" s="130" t="s">
        <v>77</v>
      </c>
      <c r="U406" s="133">
        <f>SUM(U396:U405)</f>
        <v>2.7625139589168319E-5</v>
      </c>
      <c r="V406" s="108"/>
      <c r="W406" s="108"/>
      <c r="X406" s="108"/>
      <c r="Y406" s="70">
        <f>SUM(Y397:Y405)</f>
        <v>2.5618524902611163E-2</v>
      </c>
      <c r="Z406" s="70">
        <f t="shared" ref="Z406:AG406" si="128">SUM(Z397:Z405)</f>
        <v>8.8004472396149358E-4</v>
      </c>
      <c r="AA406" s="70">
        <f t="shared" si="128"/>
        <v>3.4166495111535977E-11</v>
      </c>
      <c r="AB406" s="70">
        <f t="shared" si="128"/>
        <v>5.6553540740637419E-6</v>
      </c>
      <c r="AC406" s="70">
        <f t="shared" si="128"/>
        <v>1.3753665412363013E-7</v>
      </c>
      <c r="AD406" s="70">
        <f t="shared" si="128"/>
        <v>4.6719462577122307E-6</v>
      </c>
      <c r="AE406" s="70">
        <f t="shared" si="128"/>
        <v>8.743368784622778E-8</v>
      </c>
      <c r="AF406" s="70">
        <f t="shared" si="128"/>
        <v>5.1377504264310516E-8</v>
      </c>
      <c r="AG406" s="70">
        <f t="shared" si="128"/>
        <v>1.8896427200912638E-16</v>
      </c>
      <c r="AH406" s="130">
        <f>SUM(Y406:AG406)</f>
        <v>2.6509173308917354E-2</v>
      </c>
    </row>
    <row r="407" spans="19:34" x14ac:dyDescent="0.25">
      <c r="S407" s="116"/>
    </row>
    <row r="408" spans="19:34" x14ac:dyDescent="0.25">
      <c r="S408" s="116"/>
      <c r="T408" s="112" t="s">
        <v>99</v>
      </c>
      <c r="U408" s="108"/>
      <c r="V408" s="108"/>
      <c r="W408" s="108"/>
      <c r="X408" s="108"/>
      <c r="Y408" s="108"/>
      <c r="Z408" s="108"/>
      <c r="AA408" s="108"/>
      <c r="AB408" s="108"/>
    </row>
    <row r="409" spans="19:34" x14ac:dyDescent="0.25">
      <c r="S409" s="116"/>
      <c r="T409" s="137" t="s">
        <v>100</v>
      </c>
      <c r="U409" s="138">
        <f>+AH406</f>
        <v>2.6509173308917354E-2</v>
      </c>
      <c r="V409" s="138" t="s">
        <v>101</v>
      </c>
      <c r="W409" s="139"/>
      <c r="X409" s="108"/>
      <c r="Y409" s="108"/>
      <c r="Z409" s="108"/>
      <c r="AA409" s="108"/>
      <c r="AB409" s="108"/>
    </row>
    <row r="410" spans="19:34" x14ac:dyDescent="0.25">
      <c r="S410" s="116"/>
      <c r="T410" s="137" t="s">
        <v>103</v>
      </c>
      <c r="U410" s="138">
        <f>+U406</f>
        <v>2.7625139589168319E-5</v>
      </c>
      <c r="V410" s="138" t="s">
        <v>101</v>
      </c>
      <c r="W410" s="108"/>
      <c r="X410" s="108"/>
      <c r="Y410" s="108"/>
      <c r="Z410" s="140" t="e">
        <f>(U414*U414)+(2*U410*U414)-(U410*U410)</f>
        <v>#DIV/0!</v>
      </c>
      <c r="AA410" s="108"/>
      <c r="AB410" s="108"/>
    </row>
    <row r="411" spans="19:34" x14ac:dyDescent="0.25">
      <c r="S411" s="116"/>
      <c r="T411" s="137" t="s">
        <v>104</v>
      </c>
      <c r="U411" s="138">
        <v>8.3145100000000003</v>
      </c>
      <c r="V411" s="138" t="s">
        <v>105</v>
      </c>
      <c r="W411" s="108"/>
      <c r="X411" s="108"/>
      <c r="Y411" s="108"/>
      <c r="Z411" s="140"/>
      <c r="AA411" s="108"/>
      <c r="AB411" s="108"/>
    </row>
    <row r="412" spans="19:34" x14ac:dyDescent="0.25">
      <c r="S412" s="116"/>
      <c r="T412" s="137" t="s">
        <v>106</v>
      </c>
      <c r="U412" s="141">
        <f>B36*98066.5</f>
        <v>0</v>
      </c>
      <c r="V412" s="142" t="s">
        <v>107</v>
      </c>
      <c r="W412" s="108"/>
      <c r="X412" s="108"/>
      <c r="Y412" s="108"/>
      <c r="Z412" s="140" t="e">
        <f>U409/Z410</f>
        <v>#DIV/0!</v>
      </c>
      <c r="AA412" s="108"/>
      <c r="AB412" s="108"/>
    </row>
    <row r="413" spans="19:34" x14ac:dyDescent="0.25">
      <c r="S413" s="116"/>
      <c r="T413" s="137" t="s">
        <v>108</v>
      </c>
      <c r="U413" s="141" t="s">
        <v>109</v>
      </c>
      <c r="V413" s="138" t="s">
        <v>110</v>
      </c>
      <c r="W413" s="108"/>
      <c r="X413" s="108"/>
      <c r="Y413" s="108"/>
      <c r="Z413" s="140"/>
      <c r="AA413" s="108"/>
      <c r="AB413" s="108"/>
    </row>
    <row r="414" spans="19:34" x14ac:dyDescent="0.25">
      <c r="S414" s="116"/>
      <c r="T414" s="137" t="s">
        <v>112</v>
      </c>
      <c r="U414" s="138" t="e">
        <f>+U422</f>
        <v>#DIV/0!</v>
      </c>
      <c r="V414" s="138" t="s">
        <v>113</v>
      </c>
      <c r="W414" s="108"/>
      <c r="X414" s="108"/>
      <c r="Y414" s="108"/>
      <c r="Z414" s="140" t="e">
        <f>U414-U410</f>
        <v>#DIV/0!</v>
      </c>
      <c r="AA414" s="108"/>
      <c r="AB414" s="108"/>
    </row>
    <row r="415" spans="19:34" x14ac:dyDescent="0.25">
      <c r="S415" s="116"/>
      <c r="T415" s="108"/>
      <c r="U415" s="108"/>
      <c r="V415" s="108"/>
      <c r="W415" s="108"/>
      <c r="X415" s="108"/>
      <c r="Y415" s="108"/>
      <c r="Z415" s="108"/>
      <c r="AA415" s="108"/>
      <c r="AB415" s="108"/>
    </row>
    <row r="416" spans="19:34" x14ac:dyDescent="0.25">
      <c r="S416" s="116"/>
      <c r="T416" s="108"/>
      <c r="U416" s="108"/>
      <c r="V416" s="108"/>
      <c r="W416" s="108"/>
      <c r="X416" s="108"/>
      <c r="Y416" s="108"/>
      <c r="Z416" s="108"/>
      <c r="AA416" s="108"/>
      <c r="AB416" s="108"/>
    </row>
    <row r="417" spans="19:34" x14ac:dyDescent="0.25">
      <c r="S417" s="116"/>
      <c r="T417" s="108"/>
      <c r="U417" s="108"/>
      <c r="V417" s="108"/>
      <c r="W417" s="108"/>
      <c r="X417" s="108"/>
      <c r="Y417" s="108"/>
      <c r="Z417" s="108"/>
      <c r="AA417" s="108"/>
      <c r="AB417" s="108"/>
    </row>
    <row r="418" spans="19:34" x14ac:dyDescent="0.25">
      <c r="S418" s="116"/>
      <c r="T418" s="108" t="s">
        <v>116</v>
      </c>
      <c r="U418" s="108">
        <v>0.98</v>
      </c>
      <c r="V418" s="108"/>
      <c r="W418" s="108"/>
      <c r="X418" s="108"/>
      <c r="Y418" s="108"/>
      <c r="Z418" s="108"/>
      <c r="AA418" s="108"/>
      <c r="AB418" s="108"/>
    </row>
    <row r="419" spans="19:34" x14ac:dyDescent="0.25">
      <c r="S419" s="116"/>
      <c r="T419" s="108" t="s">
        <v>106</v>
      </c>
      <c r="U419" s="143">
        <f>U412</f>
        <v>0</v>
      </c>
      <c r="V419" s="108" t="s">
        <v>117</v>
      </c>
      <c r="W419" s="108"/>
      <c r="X419" s="108"/>
      <c r="Y419" s="108"/>
      <c r="Z419" s="108"/>
      <c r="AA419" s="108"/>
      <c r="AB419" s="108"/>
    </row>
    <row r="420" spans="19:34" x14ac:dyDescent="0.25">
      <c r="S420" s="116"/>
      <c r="T420" s="108" t="s">
        <v>118</v>
      </c>
      <c r="U420" s="143">
        <f>C36+273.15</f>
        <v>273.14999999999998</v>
      </c>
      <c r="V420" s="108" t="s">
        <v>49</v>
      </c>
      <c r="W420" s="108"/>
      <c r="X420" s="108"/>
      <c r="Y420" s="108"/>
      <c r="Z420" s="108"/>
      <c r="AA420" s="108"/>
      <c r="AB420" s="108"/>
    </row>
    <row r="421" spans="19:34" x14ac:dyDescent="0.25">
      <c r="S421" s="116"/>
      <c r="T421" s="108"/>
      <c r="U421" s="108"/>
      <c r="V421" s="108"/>
      <c r="W421" s="108"/>
      <c r="X421" s="108"/>
      <c r="Y421" s="108"/>
      <c r="Z421" s="108"/>
      <c r="AA421" s="108"/>
      <c r="AB421" s="108"/>
    </row>
    <row r="422" spans="19:34" x14ac:dyDescent="0.25">
      <c r="S422" s="116"/>
      <c r="T422" t="s">
        <v>121</v>
      </c>
      <c r="U422" t="e">
        <f>(0.98*U411*U420)/U419</f>
        <v>#DIV/0!</v>
      </c>
      <c r="V422" t="s">
        <v>113</v>
      </c>
    </row>
    <row r="423" spans="19:34" x14ac:dyDescent="0.25"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</row>
    <row r="424" spans="19:34" ht="15.75" thickBot="1" x14ac:dyDescent="0.3"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</row>
    <row r="425" spans="19:34" ht="15.75" thickBot="1" x14ac:dyDescent="0.3">
      <c r="S425" s="116"/>
      <c r="V425" s="162" t="s">
        <v>60</v>
      </c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4"/>
    </row>
    <row r="426" spans="19:34" x14ac:dyDescent="0.25">
      <c r="S426" s="116"/>
      <c r="Y426" s="175" t="s">
        <v>63</v>
      </c>
      <c r="Z426" s="175"/>
      <c r="AA426" s="175"/>
      <c r="AB426" s="175"/>
      <c r="AC426" s="175"/>
      <c r="AD426" s="175"/>
      <c r="AE426" s="175"/>
      <c r="AF426" s="175"/>
      <c r="AG426" s="175"/>
      <c r="AH426" s="175"/>
    </row>
    <row r="427" spans="19:34" ht="17.25" x14ac:dyDescent="0.25">
      <c r="S427" s="116">
        <v>14</v>
      </c>
      <c r="T427" s="70" t="s">
        <v>76</v>
      </c>
      <c r="U427" s="130" t="s">
        <v>77</v>
      </c>
      <c r="V427" s="70" t="s">
        <v>78</v>
      </c>
      <c r="W427" s="70" t="s">
        <v>79</v>
      </c>
      <c r="X427" s="70" t="s">
        <v>80</v>
      </c>
      <c r="Y427" s="131" t="s">
        <v>30</v>
      </c>
      <c r="Z427" s="131" t="s">
        <v>32</v>
      </c>
      <c r="AA427" s="131" t="s">
        <v>81</v>
      </c>
      <c r="AB427" s="131" t="s">
        <v>25</v>
      </c>
      <c r="AC427" s="131" t="s">
        <v>26</v>
      </c>
      <c r="AD427" s="131" t="s">
        <v>27</v>
      </c>
      <c r="AE427" s="131" t="s">
        <v>28</v>
      </c>
      <c r="AF427" s="131" t="s">
        <v>82</v>
      </c>
      <c r="AG427" s="131" t="s">
        <v>29</v>
      </c>
      <c r="AH427" s="132" t="s">
        <v>31</v>
      </c>
    </row>
    <row r="428" spans="19:34" x14ac:dyDescent="0.25">
      <c r="S428" s="116"/>
      <c r="T428" s="70">
        <f>K37</f>
        <v>0.88175291666666678</v>
      </c>
      <c r="U428" s="69">
        <f>+S8*T428</f>
        <v>2.3633687920816749E-5</v>
      </c>
      <c r="V428" s="69">
        <f>$T$428*T428</f>
        <v>0.77748820605017377</v>
      </c>
      <c r="W428" s="69">
        <f>$R$8*R8</f>
        <v>4.2845172623208805E-2</v>
      </c>
      <c r="X428" s="69">
        <f>SQRT(W428)</f>
        <v>0.20699075492207086</v>
      </c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</row>
    <row r="429" spans="19:34" x14ac:dyDescent="0.25">
      <c r="S429" s="116"/>
      <c r="T429" s="70">
        <f>M37</f>
        <v>6.3834166666666664E-2</v>
      </c>
      <c r="U429" s="69">
        <f t="shared" ref="U429:U437" si="129">+S9*T429</f>
        <v>2.5877208450768618E-6</v>
      </c>
      <c r="V429" s="69">
        <f t="shared" ref="V429:V437" si="130">$T$428*T429</f>
        <v>5.6285962641319451E-2</v>
      </c>
      <c r="W429" s="69">
        <f t="shared" ref="W429:W437" si="131">$R$8*R9</f>
        <v>0.12918986849197683</v>
      </c>
      <c r="X429" s="69">
        <f t="shared" ref="X429:X437" si="132">SQRT(W429)</f>
        <v>0.35942992153127268</v>
      </c>
      <c r="Y429" s="70">
        <f t="shared" ref="Y429:Y437" si="133">(($T$428*T429)*SQRT($R$8*R9))*(1-B60)</f>
        <v>2.0283459369233845E-2</v>
      </c>
      <c r="Z429" s="70"/>
      <c r="AA429" s="70"/>
      <c r="AB429" s="70"/>
      <c r="AC429" s="70"/>
      <c r="AD429" s="70"/>
      <c r="AE429" s="70"/>
      <c r="AF429" s="70"/>
      <c r="AG429" s="70"/>
      <c r="AH429" s="70"/>
    </row>
    <row r="430" spans="19:34" x14ac:dyDescent="0.25">
      <c r="S430" s="116"/>
      <c r="T430" s="70">
        <f>+E37</f>
        <v>4.7620833333333326E-3</v>
      </c>
      <c r="U430" s="69">
        <f t="shared" si="129"/>
        <v>2.6818277321835833E-7</v>
      </c>
      <c r="V430" s="69">
        <f t="shared" si="130"/>
        <v>4.1989808685763885E-3</v>
      </c>
      <c r="W430" s="69">
        <f t="shared" si="131"/>
        <v>0.24193902239770376</v>
      </c>
      <c r="X430" s="69">
        <f t="shared" si="132"/>
        <v>0.49187297384355622</v>
      </c>
      <c r="Y430" s="70">
        <f t="shared" si="133"/>
        <v>2.0364500940417227E-3</v>
      </c>
      <c r="Z430" s="70">
        <f t="shared" ref="Z430:Z437" si="134">(($T$429*T430)*SQRT($R$9*R10))*(1-B61)</f>
        <v>2.5600198894347638E-4</v>
      </c>
      <c r="AA430" s="70"/>
      <c r="AB430" s="70"/>
      <c r="AC430" s="70"/>
      <c r="AD430" s="70"/>
      <c r="AE430" s="70"/>
      <c r="AF430" s="70"/>
      <c r="AG430" s="70"/>
      <c r="AH430" s="70"/>
    </row>
    <row r="431" spans="19:34" x14ac:dyDescent="0.25">
      <c r="S431" s="116"/>
      <c r="T431" s="70">
        <f>+G37</f>
        <v>3.5208333333333348E-4</v>
      </c>
      <c r="U431" s="69">
        <f t="shared" si="129"/>
        <v>2.5506276158673526E-8</v>
      </c>
      <c r="V431" s="69">
        <f t="shared" si="130"/>
        <v>3.1045050607638906E-4</v>
      </c>
      <c r="W431" s="69">
        <f t="shared" si="131"/>
        <v>0.39059496580954223</v>
      </c>
      <c r="X431" s="69">
        <f t="shared" si="132"/>
        <v>0.62497597218576506</v>
      </c>
      <c r="Y431" s="70">
        <f t="shared" si="133"/>
        <v>1.890570897152773E-4</v>
      </c>
      <c r="Z431" s="70">
        <f t="shared" si="134"/>
        <v>2.3766352601805835E-5</v>
      </c>
      <c r="AA431" s="70">
        <f t="shared" ref="AA431:AA437" si="135">(($T$430*U431)*SQRT($R$10*S11))*(1-C62)</f>
        <v>1.1251810227705169E-12</v>
      </c>
      <c r="AB431" s="70"/>
      <c r="AC431" s="70"/>
      <c r="AD431" s="70"/>
      <c r="AE431" s="70"/>
      <c r="AF431" s="70"/>
      <c r="AG431" s="70"/>
      <c r="AH431" s="70"/>
    </row>
    <row r="432" spans="19:34" x14ac:dyDescent="0.25">
      <c r="S432" s="116"/>
      <c r="T432" s="70">
        <f>+F37</f>
        <v>3.2583333333333347E-4</v>
      </c>
      <c r="U432" s="69">
        <f t="shared" si="129"/>
        <v>2.3613350096914929E-8</v>
      </c>
      <c r="V432" s="69">
        <f t="shared" si="130"/>
        <v>2.8730449201388905E-4</v>
      </c>
      <c r="W432" s="69">
        <f t="shared" si="131"/>
        <v>0.36453710099529019</v>
      </c>
      <c r="X432" s="69">
        <f t="shared" si="132"/>
        <v>0.60376907919774281</v>
      </c>
      <c r="Y432" s="70">
        <f t="shared" si="133"/>
        <v>1.7115847653031944E-4</v>
      </c>
      <c r="Z432" s="70">
        <f t="shared" si="134"/>
        <v>2.1516319277598448E-5</v>
      </c>
      <c r="AA432" s="70">
        <f t="shared" si="135"/>
        <v>1.0249997575627147E-12</v>
      </c>
      <c r="AB432" s="70">
        <f t="shared" ref="AB432:AB437" si="136">(($T$431*V432)*SQRT($R$11*T432))*(1-D63)</f>
        <v>2.4999881146866323E-9</v>
      </c>
      <c r="AC432" s="70"/>
      <c r="AD432" s="70"/>
      <c r="AE432" s="70"/>
      <c r="AF432" s="70"/>
      <c r="AG432" s="70"/>
      <c r="AH432" s="70"/>
    </row>
    <row r="433" spans="19:34" x14ac:dyDescent="0.25">
      <c r="S433" s="116"/>
      <c r="T433" s="70">
        <f>+I37</f>
        <v>5.208333333333335E-5</v>
      </c>
      <c r="U433" s="69">
        <f t="shared" si="129"/>
        <v>4.6957577892649617E-9</v>
      </c>
      <c r="V433" s="69">
        <f t="shared" si="130"/>
        <v>4.592463107638891E-5</v>
      </c>
      <c r="W433" s="69">
        <f t="shared" si="131"/>
        <v>0.57891172563229198</v>
      </c>
      <c r="X433" s="69">
        <f t="shared" si="132"/>
        <v>0.76086248799128742</v>
      </c>
      <c r="Y433" s="70">
        <f t="shared" si="133"/>
        <v>3.5138006103604094E-5</v>
      </c>
      <c r="Z433" s="70">
        <f t="shared" si="134"/>
        <v>4.417196118063261E-6</v>
      </c>
      <c r="AA433" s="70">
        <f t="shared" si="135"/>
        <v>2.2955334374774558E-13</v>
      </c>
      <c r="AB433" s="70">
        <f t="shared" si="136"/>
        <v>1.5851879142203948E-10</v>
      </c>
      <c r="AC433" s="70">
        <f>(($T$432*W433)*SQRT($R$12*U433))*(1-E64)</f>
        <v>1.7153632234298393E-8</v>
      </c>
      <c r="AD433" s="70"/>
      <c r="AE433" s="70"/>
      <c r="AF433" s="70"/>
      <c r="AG433" s="70"/>
      <c r="AH433" s="70"/>
    </row>
    <row r="434" spans="19:34" x14ac:dyDescent="0.25">
      <c r="S434" s="116"/>
      <c r="T434" s="70">
        <f>+H37</f>
        <v>6.2916666666666674E-5</v>
      </c>
      <c r="U434" s="69">
        <f t="shared" si="129"/>
        <v>5.5437109401024642E-9</v>
      </c>
      <c r="V434" s="69">
        <f t="shared" si="130"/>
        <v>5.5476954340277792E-5</v>
      </c>
      <c r="W434" s="69">
        <f t="shared" si="131"/>
        <v>0.54235185847350886</v>
      </c>
      <c r="X434" s="69">
        <f t="shared" si="132"/>
        <v>0.73644542124553181</v>
      </c>
      <c r="Y434" s="70">
        <f t="shared" si="133"/>
        <v>3.9916066781348479E-5</v>
      </c>
      <c r="Z434" s="70">
        <f t="shared" si="134"/>
        <v>5.0178457683414649E-6</v>
      </c>
      <c r="AA434" s="70">
        <f t="shared" si="135"/>
        <v>2.6582248477814765E-13</v>
      </c>
      <c r="AB434" s="70">
        <f t="shared" si="136"/>
        <v>2.0714549869177159E-10</v>
      </c>
      <c r="AC434" s="70">
        <f>(($T$432*W434)*SQRT($R$12*U434))*(1-E65)</f>
        <v>1.7461129213911399E-8</v>
      </c>
      <c r="AD434" s="70">
        <f>(($T$433*X434)*SQRT($R$13*V434))*(1-F65)</f>
        <v>4.7777821295252058E-7</v>
      </c>
      <c r="AE434" s="70"/>
      <c r="AF434" s="70"/>
      <c r="AG434" s="70"/>
      <c r="AH434" s="70"/>
    </row>
    <row r="435" spans="19:34" x14ac:dyDescent="0.25">
      <c r="S435" s="116"/>
      <c r="T435" s="70">
        <f>+D37</f>
        <v>1.416666666666667E-4</v>
      </c>
      <c r="U435" s="69">
        <f t="shared" si="129"/>
        <v>1.5377302815530581E-8</v>
      </c>
      <c r="V435" s="69">
        <f t="shared" si="130"/>
        <v>1.2491499652777784E-4</v>
      </c>
      <c r="W435" s="69">
        <f t="shared" si="131"/>
        <v>0.8050809492880614</v>
      </c>
      <c r="X435" s="69">
        <f t="shared" si="132"/>
        <v>0.89726303238685889</v>
      </c>
      <c r="Y435" s="70">
        <f t="shared" si="133"/>
        <v>1.0735176469323835E-4</v>
      </c>
      <c r="Z435" s="70">
        <f t="shared" si="134"/>
        <v>1.3495182306931611E-5</v>
      </c>
      <c r="AA435" s="70">
        <f t="shared" si="135"/>
        <v>8.3307147417456094E-13</v>
      </c>
      <c r="AB435" s="70">
        <f t="shared" si="136"/>
        <v>7.1858412596495828E-10</v>
      </c>
      <c r="AC435" s="70">
        <f>(($T$432*W435)*SQRT($R$12*U435))*(1-E66)</f>
        <v>4.3168855849928348E-8</v>
      </c>
      <c r="AD435" s="70">
        <f>(($T$433*X435)*SQRT($R$13*V435))*(1-F66)</f>
        <v>8.7837870807202298E-7</v>
      </c>
      <c r="AE435" s="70">
        <f>(($T$434*Y435)*SQRT($R$14*W435))*(1-G66)</f>
        <v>9.8097911335522731E-9</v>
      </c>
      <c r="AF435" s="70"/>
      <c r="AG435" s="70"/>
      <c r="AH435" s="70"/>
    </row>
    <row r="436" spans="19:34" x14ac:dyDescent="0.25">
      <c r="S436" s="116"/>
      <c r="T436" s="70">
        <f>+J37</f>
        <v>4.7542916666666664E-2</v>
      </c>
      <c r="U436" s="69">
        <f t="shared" si="129"/>
        <v>1.1415173485058786E-6</v>
      </c>
      <c r="V436" s="69">
        <f t="shared" si="130"/>
        <v>4.1921105437673613E-2</v>
      </c>
      <c r="W436" s="69">
        <f t="shared" si="131"/>
        <v>1.8651528335962096E-2</v>
      </c>
      <c r="X436" s="69">
        <f t="shared" si="132"/>
        <v>0.13657059835836591</v>
      </c>
      <c r="Y436" s="70">
        <f t="shared" si="133"/>
        <v>5.5471370303644017E-3</v>
      </c>
      <c r="Z436" s="70">
        <f t="shared" si="134"/>
        <v>6.973301810195016E-4</v>
      </c>
      <c r="AA436" s="70">
        <f t="shared" si="135"/>
        <v>2.7314463602530477E-11</v>
      </c>
      <c r="AB436" s="70">
        <f t="shared" si="136"/>
        <v>4.0442231108023269E-6</v>
      </c>
      <c r="AC436" s="70">
        <f>(($T$432*W436)*SQRT($R$12*U436))*(1-E67)</f>
        <v>7.7266947803358495E-9</v>
      </c>
      <c r="AD436" s="70">
        <f>(($T$433*X436)*SQRT($R$13*V436))*(1-F67)</f>
        <v>2.2407369345270475E-6</v>
      </c>
      <c r="AE436" s="70">
        <f>(($T$434*Y436)*SQRT($R$14*W436))*(1-G67)</f>
        <v>7.0040152439070294E-8</v>
      </c>
      <c r="AF436" s="70">
        <f>(($T$435*Z436)*SQRT($R$15*X436))*(1-H67)</f>
        <v>6.4799484937130219E-8</v>
      </c>
      <c r="AG436" s="70"/>
      <c r="AH436" s="70"/>
    </row>
    <row r="437" spans="19:34" x14ac:dyDescent="0.25">
      <c r="S437" s="116"/>
      <c r="T437" s="70">
        <f>L37</f>
        <v>1.1737500000000001E-3</v>
      </c>
      <c r="U437" s="69">
        <f t="shared" si="129"/>
        <v>3.1284734950633348E-8</v>
      </c>
      <c r="V437" s="69">
        <f t="shared" si="130"/>
        <v>1.0349574859375003E-3</v>
      </c>
      <c r="W437" s="69">
        <f t="shared" si="131"/>
        <v>8.5334097849090448E-2</v>
      </c>
      <c r="X437" s="69">
        <f t="shared" si="132"/>
        <v>0.29212000590355064</v>
      </c>
      <c r="Y437" s="70">
        <f t="shared" si="133"/>
        <v>2.7454749568569397E-4</v>
      </c>
      <c r="Z437" s="70">
        <f t="shared" si="134"/>
        <v>3.4513345139479821E-5</v>
      </c>
      <c r="AA437" s="70">
        <f t="shared" si="135"/>
        <v>7.2161414985154144E-13</v>
      </c>
      <c r="AB437" s="70">
        <f t="shared" si="136"/>
        <v>1.5020976025208536E-8</v>
      </c>
      <c r="AC437" s="70">
        <f>(($T$432*W437)*SQRT($R$12*U437))*(1-E68)</f>
        <v>5.7433121177454121E-9</v>
      </c>
      <c r="AD437" s="70">
        <f>(($T$433*X437)*SQRT($R$13*V437))*(1-F68)</f>
        <v>7.094484145859738E-7</v>
      </c>
      <c r="AE437" s="70">
        <f>(($T$434*Y437)*SQRT($R$14*W437))*(1-G68)</f>
        <v>6.3791177528354725E-9</v>
      </c>
      <c r="AF437" s="70">
        <f>(($T$435*Z437)*SQRT($R$15*X437))*(1-H68)</f>
        <v>4.574833129475726E-9</v>
      </c>
      <c r="AG437" s="70">
        <f>(($T$436*AA437)*SQRT($R$16*Y437))*(1-I68)</f>
        <v>1.5186977508656632E-16</v>
      </c>
      <c r="AH437" s="70"/>
    </row>
    <row r="438" spans="19:34" x14ac:dyDescent="0.25">
      <c r="S438" s="116"/>
      <c r="T438" s="130" t="s">
        <v>77</v>
      </c>
      <c r="U438" s="133">
        <f>SUM(U428:U437)</f>
        <v>2.7737130020368965E-5</v>
      </c>
      <c r="V438" s="108"/>
      <c r="W438" s="108"/>
      <c r="X438" s="108"/>
      <c r="Y438" s="70">
        <f>SUM(Y429:Y437)</f>
        <v>2.8684215393149453E-2</v>
      </c>
      <c r="Z438" s="70">
        <f t="shared" ref="Z438:AG438" si="137">SUM(Z429:Z437)</f>
        <v>1.0560584111751984E-3</v>
      </c>
      <c r="AA438" s="70">
        <f t="shared" si="137"/>
        <v>3.1514705835415704E-11</v>
      </c>
      <c r="AB438" s="70">
        <f t="shared" si="137"/>
        <v>4.0628283233583007E-6</v>
      </c>
      <c r="AC438" s="70">
        <f t="shared" si="137"/>
        <v>9.1253624196219408E-8</v>
      </c>
      <c r="AD438" s="70">
        <f t="shared" si="137"/>
        <v>4.3063422701375649E-6</v>
      </c>
      <c r="AE438" s="70">
        <f t="shared" si="137"/>
        <v>8.6229061325458031E-8</v>
      </c>
      <c r="AF438" s="70">
        <f t="shared" si="137"/>
        <v>6.9374318066605945E-8</v>
      </c>
      <c r="AG438" s="70">
        <f t="shared" si="137"/>
        <v>1.5186977508656632E-16</v>
      </c>
      <c r="AH438" s="130">
        <f>SUM(Y438:AG438)</f>
        <v>2.9748889863436597E-2</v>
      </c>
    </row>
    <row r="439" spans="19:34" x14ac:dyDescent="0.25">
      <c r="S439" s="116"/>
    </row>
    <row r="440" spans="19:34" x14ac:dyDescent="0.25">
      <c r="S440" s="116"/>
      <c r="T440" s="112" t="s">
        <v>99</v>
      </c>
      <c r="U440" s="108"/>
      <c r="V440" s="108"/>
      <c r="W440" s="108"/>
      <c r="X440" s="108"/>
      <c r="Y440" s="108"/>
      <c r="Z440" s="108"/>
      <c r="AA440" s="108"/>
      <c r="AB440" s="108"/>
    </row>
    <row r="441" spans="19:34" x14ac:dyDescent="0.25">
      <c r="S441" s="116"/>
      <c r="T441" s="137" t="s">
        <v>100</v>
      </c>
      <c r="U441" s="138">
        <f>+AH438</f>
        <v>2.9748889863436597E-2</v>
      </c>
      <c r="V441" s="138" t="s">
        <v>101</v>
      </c>
      <c r="W441" s="139"/>
      <c r="X441" s="108"/>
      <c r="Y441" s="108"/>
      <c r="Z441" s="108"/>
      <c r="AA441" s="108"/>
      <c r="AB441" s="108"/>
    </row>
    <row r="442" spans="19:34" x14ac:dyDescent="0.25">
      <c r="S442" s="116"/>
      <c r="T442" s="137" t="s">
        <v>103</v>
      </c>
      <c r="U442" s="138">
        <f>+U438</f>
        <v>2.7737130020368965E-5</v>
      </c>
      <c r="V442" s="138" t="s">
        <v>101</v>
      </c>
      <c r="W442" s="108"/>
      <c r="X442" s="108"/>
      <c r="Y442" s="108"/>
      <c r="Z442" s="140" t="e">
        <f>(U446*U446)+(2*U442*U446)-(U442*U442)</f>
        <v>#DIV/0!</v>
      </c>
      <c r="AA442" s="108"/>
      <c r="AB442" s="108"/>
    </row>
    <row r="443" spans="19:34" x14ac:dyDescent="0.25">
      <c r="S443" s="116"/>
      <c r="T443" s="137" t="s">
        <v>104</v>
      </c>
      <c r="U443" s="138">
        <v>8.3145100000000003</v>
      </c>
      <c r="V443" s="138" t="s">
        <v>105</v>
      </c>
      <c r="W443" s="108"/>
      <c r="X443" s="108"/>
      <c r="Y443" s="108"/>
      <c r="Z443" s="140"/>
      <c r="AA443" s="108"/>
      <c r="AB443" s="108"/>
    </row>
    <row r="444" spans="19:34" x14ac:dyDescent="0.25">
      <c r="S444" s="116"/>
      <c r="T444" s="137" t="s">
        <v>106</v>
      </c>
      <c r="U444" s="141">
        <f>B37*98066.5</f>
        <v>0</v>
      </c>
      <c r="V444" s="142" t="s">
        <v>107</v>
      </c>
      <c r="W444" s="108"/>
      <c r="X444" s="108"/>
      <c r="Y444" s="108"/>
      <c r="Z444" s="140" t="e">
        <f>U441/Z442</f>
        <v>#DIV/0!</v>
      </c>
      <c r="AA444" s="108"/>
      <c r="AB444" s="108"/>
    </row>
    <row r="445" spans="19:34" x14ac:dyDescent="0.25">
      <c r="S445" s="116"/>
      <c r="T445" s="137" t="s">
        <v>108</v>
      </c>
      <c r="U445" s="141" t="s">
        <v>109</v>
      </c>
      <c r="V445" s="138" t="s">
        <v>110</v>
      </c>
      <c r="W445" s="108"/>
      <c r="X445" s="108"/>
      <c r="Y445" s="108"/>
      <c r="Z445" s="140"/>
      <c r="AA445" s="108"/>
      <c r="AB445" s="108"/>
    </row>
    <row r="446" spans="19:34" x14ac:dyDescent="0.25">
      <c r="S446" s="116"/>
      <c r="T446" s="137" t="s">
        <v>112</v>
      </c>
      <c r="U446" s="138" t="e">
        <f>+U454</f>
        <v>#DIV/0!</v>
      </c>
      <c r="V446" s="138" t="s">
        <v>113</v>
      </c>
      <c r="W446" s="108"/>
      <c r="X446" s="108"/>
      <c r="Y446" s="108"/>
      <c r="Z446" s="140" t="e">
        <f>U446-U442</f>
        <v>#DIV/0!</v>
      </c>
      <c r="AA446" s="108"/>
      <c r="AB446" s="108"/>
    </row>
    <row r="447" spans="19:34" x14ac:dyDescent="0.25">
      <c r="S447" s="116"/>
      <c r="T447" s="108"/>
      <c r="U447" s="108"/>
      <c r="V447" s="108"/>
      <c r="W447" s="108"/>
      <c r="X447" s="108"/>
      <c r="Y447" s="108"/>
      <c r="Z447" s="108"/>
      <c r="AA447" s="108"/>
      <c r="AB447" s="108"/>
    </row>
    <row r="448" spans="19:34" x14ac:dyDescent="0.25">
      <c r="S448" s="116"/>
      <c r="T448" s="108"/>
      <c r="U448" s="108"/>
      <c r="V448" s="108"/>
      <c r="W448" s="108"/>
      <c r="X448" s="108"/>
      <c r="Y448" s="108"/>
      <c r="Z448" s="108"/>
      <c r="AA448" s="108"/>
      <c r="AB448" s="108"/>
    </row>
    <row r="449" spans="19:34" x14ac:dyDescent="0.25">
      <c r="S449" s="116"/>
      <c r="T449" s="108"/>
      <c r="U449" s="108"/>
      <c r="V449" s="108"/>
      <c r="W449" s="108"/>
      <c r="X449" s="108"/>
      <c r="Y449" s="108"/>
      <c r="Z449" s="108"/>
      <c r="AA449" s="108"/>
      <c r="AB449" s="108"/>
    </row>
    <row r="450" spans="19:34" x14ac:dyDescent="0.25">
      <c r="S450" s="116"/>
      <c r="T450" s="108" t="s">
        <v>116</v>
      </c>
      <c r="U450" s="108">
        <v>0.98</v>
      </c>
      <c r="V450" s="108"/>
      <c r="W450" s="108"/>
      <c r="X450" s="108"/>
      <c r="Y450" s="108"/>
      <c r="Z450" s="108"/>
      <c r="AA450" s="108"/>
      <c r="AB450" s="108"/>
    </row>
    <row r="451" spans="19:34" x14ac:dyDescent="0.25">
      <c r="S451" s="116"/>
      <c r="T451" s="108" t="s">
        <v>106</v>
      </c>
      <c r="U451" s="143">
        <f>U444</f>
        <v>0</v>
      </c>
      <c r="V451" s="108" t="s">
        <v>117</v>
      </c>
      <c r="W451" s="108"/>
      <c r="X451" s="108"/>
      <c r="Y451" s="108"/>
      <c r="Z451" s="108"/>
      <c r="AA451" s="108"/>
      <c r="AB451" s="108"/>
    </row>
    <row r="452" spans="19:34" x14ac:dyDescent="0.25">
      <c r="S452" s="116"/>
      <c r="T452" s="108" t="s">
        <v>118</v>
      </c>
      <c r="U452" s="143">
        <f>C37+273.15</f>
        <v>273.14999999999998</v>
      </c>
      <c r="V452" s="108" t="s">
        <v>49</v>
      </c>
      <c r="W452" s="108"/>
      <c r="X452" s="108"/>
      <c r="Y452" s="108"/>
      <c r="Z452" s="108"/>
      <c r="AA452" s="108"/>
      <c r="AB452" s="108"/>
    </row>
    <row r="453" spans="19:34" x14ac:dyDescent="0.25">
      <c r="S453" s="116"/>
      <c r="T453" s="108"/>
      <c r="U453" s="108"/>
      <c r="V453" s="108"/>
      <c r="W453" s="108"/>
      <c r="X453" s="108"/>
      <c r="Y453" s="108"/>
      <c r="Z453" s="108"/>
      <c r="AA453" s="108"/>
      <c r="AB453" s="108"/>
    </row>
    <row r="454" spans="19:34" x14ac:dyDescent="0.25">
      <c r="S454" s="116"/>
      <c r="T454" s="108" t="s">
        <v>121</v>
      </c>
      <c r="U454" s="108" t="e">
        <f>(0.98*U443*U452)/U451</f>
        <v>#DIV/0!</v>
      </c>
      <c r="V454" s="108" t="s">
        <v>113</v>
      </c>
      <c r="W454" s="108"/>
      <c r="X454" s="108"/>
      <c r="Y454" s="108"/>
      <c r="Z454" s="108"/>
      <c r="AA454" s="108"/>
      <c r="AB454" s="108"/>
    </row>
    <row r="455" spans="19:34" x14ac:dyDescent="0.25">
      <c r="S455" s="116"/>
      <c r="T455" s="144"/>
      <c r="U455" s="145"/>
      <c r="V455" s="145"/>
      <c r="W455" s="116"/>
      <c r="X455" s="116"/>
      <c r="Y455" s="116"/>
      <c r="Z455" s="146"/>
      <c r="AA455" s="116"/>
      <c r="AB455" s="116"/>
      <c r="AC455" s="116"/>
      <c r="AD455" s="116"/>
      <c r="AE455" s="116"/>
      <c r="AF455" s="116"/>
      <c r="AG455" s="116"/>
      <c r="AH455" s="116"/>
    </row>
    <row r="456" spans="19:34" ht="15.75" thickBot="1" x14ac:dyDescent="0.3"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</row>
    <row r="457" spans="19:34" ht="15.75" thickBot="1" x14ac:dyDescent="0.3">
      <c r="S457" s="116"/>
      <c r="V457" s="162" t="s">
        <v>60</v>
      </c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4"/>
    </row>
    <row r="458" spans="19:34" x14ac:dyDescent="0.25">
      <c r="S458" s="116"/>
      <c r="Y458" s="175" t="s">
        <v>63</v>
      </c>
      <c r="Z458" s="175"/>
      <c r="AA458" s="175"/>
      <c r="AB458" s="175"/>
      <c r="AC458" s="175"/>
      <c r="AD458" s="175"/>
      <c r="AE458" s="175"/>
      <c r="AF458" s="175"/>
      <c r="AG458" s="175"/>
      <c r="AH458" s="175"/>
    </row>
    <row r="459" spans="19:34" ht="17.25" x14ac:dyDescent="0.25">
      <c r="S459" s="116">
        <v>15</v>
      </c>
      <c r="T459" s="70" t="s">
        <v>76</v>
      </c>
      <c r="U459" s="130" t="s">
        <v>77</v>
      </c>
      <c r="V459" s="70" t="s">
        <v>78</v>
      </c>
      <c r="W459" s="70" t="s">
        <v>79</v>
      </c>
      <c r="X459" s="70" t="s">
        <v>80</v>
      </c>
      <c r="Y459" s="131" t="s">
        <v>30</v>
      </c>
      <c r="Z459" s="131" t="s">
        <v>32</v>
      </c>
      <c r="AA459" s="131" t="s">
        <v>81</v>
      </c>
      <c r="AB459" s="131" t="s">
        <v>25</v>
      </c>
      <c r="AC459" s="131" t="s">
        <v>26</v>
      </c>
      <c r="AD459" s="131" t="s">
        <v>27</v>
      </c>
      <c r="AE459" s="131" t="s">
        <v>28</v>
      </c>
      <c r="AF459" s="131" t="s">
        <v>82</v>
      </c>
      <c r="AG459" s="131" t="s">
        <v>29</v>
      </c>
      <c r="AH459" s="132" t="s">
        <v>31</v>
      </c>
    </row>
    <row r="460" spans="19:34" x14ac:dyDescent="0.25">
      <c r="S460" s="116"/>
      <c r="T460" s="70">
        <f>K38</f>
        <v>0.89074791666666675</v>
      </c>
      <c r="U460" s="69">
        <f>+S8*T460</f>
        <v>2.3874781563751769E-5</v>
      </c>
      <c r="V460" s="69">
        <f>$T$460*T460</f>
        <v>0.79343185104600711</v>
      </c>
      <c r="W460" s="69">
        <f>$R$8*R8</f>
        <v>4.2845172623208805E-2</v>
      </c>
      <c r="X460" s="69">
        <f>SQRT(W460)</f>
        <v>0.20699075492207086</v>
      </c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</row>
    <row r="461" spans="19:34" x14ac:dyDescent="0.25">
      <c r="S461" s="116"/>
      <c r="T461" s="70">
        <f>M38</f>
        <v>5.3822916666666665E-2</v>
      </c>
      <c r="U461" s="69">
        <f t="shared" ref="U461:U469" si="138">+S9*T461</f>
        <v>2.1818830052010004E-6</v>
      </c>
      <c r="V461" s="69">
        <f t="shared" ref="V461:V469" si="139">$T$460*T461</f>
        <v>4.7942650889756945E-2</v>
      </c>
      <c r="W461" s="69">
        <f t="shared" ref="W461:W469" si="140">$R$8*R9</f>
        <v>0.12918986849197683</v>
      </c>
      <c r="X461" s="69">
        <f t="shared" ref="X461:X469" si="141">SQRT(W461)</f>
        <v>0.35942992153127268</v>
      </c>
      <c r="Y461" s="70">
        <f t="shared" ref="Y461:Y469" si="142">(($T$460*T461)*SQRT($R$8*R9))*(1-B60)</f>
        <v>1.7276826507749535E-2</v>
      </c>
      <c r="Z461" s="70"/>
      <c r="AA461" s="70"/>
      <c r="AB461" s="70"/>
      <c r="AC461" s="70"/>
      <c r="AD461" s="70"/>
      <c r="AE461" s="70"/>
      <c r="AF461" s="70"/>
      <c r="AG461" s="70"/>
      <c r="AH461" s="70"/>
    </row>
    <row r="462" spans="19:34" x14ac:dyDescent="0.25">
      <c r="S462" s="116"/>
      <c r="T462" s="70">
        <f>+E38</f>
        <v>4.1533333333333335E-3</v>
      </c>
      <c r="U462" s="69">
        <f t="shared" si="138"/>
        <v>2.3390024354191935E-7</v>
      </c>
      <c r="V462" s="69">
        <f t="shared" si="139"/>
        <v>3.6995730138888894E-3</v>
      </c>
      <c r="W462" s="69">
        <f t="shared" si="140"/>
        <v>0.24193902239770376</v>
      </c>
      <c r="X462" s="69">
        <f t="shared" si="141"/>
        <v>0.49187297384355622</v>
      </c>
      <c r="Y462" s="70">
        <f t="shared" si="142"/>
        <v>1.7942439005687956E-3</v>
      </c>
      <c r="Z462" s="70">
        <f t="shared" ref="Z462:Z469" si="143">(($T$461*T462)*SQRT($R$9*R10))*(1-B61)</f>
        <v>1.8825961724749251E-4</v>
      </c>
      <c r="AA462" s="70"/>
      <c r="AB462" s="70"/>
      <c r="AC462" s="70"/>
      <c r="AD462" s="70"/>
      <c r="AE462" s="70"/>
      <c r="AF462" s="70"/>
      <c r="AG462" s="70"/>
      <c r="AH462" s="70"/>
    </row>
    <row r="463" spans="19:34" x14ac:dyDescent="0.25">
      <c r="S463" s="116"/>
      <c r="T463" s="70">
        <f>+G38</f>
        <v>4.2958333333333347E-4</v>
      </c>
      <c r="U463" s="69">
        <f t="shared" si="138"/>
        <v>3.112067540780166E-8</v>
      </c>
      <c r="V463" s="69">
        <f t="shared" si="139"/>
        <v>3.8265045920138905E-4</v>
      </c>
      <c r="W463" s="69">
        <f t="shared" si="140"/>
        <v>0.39059496580954223</v>
      </c>
      <c r="X463" s="69">
        <f t="shared" si="141"/>
        <v>0.62497597218576506</v>
      </c>
      <c r="Y463" s="70">
        <f t="shared" si="142"/>
        <v>2.330251707724016E-4</v>
      </c>
      <c r="Z463" s="70">
        <f t="shared" si="143"/>
        <v>2.444998110052756E-5</v>
      </c>
      <c r="AA463" s="70">
        <f t="shared" ref="AA463:AA469" si="144">(($T$462*U463)*SQRT($R$10*S11))*(1-C62)</f>
        <v>1.1973583624819025E-12</v>
      </c>
      <c r="AB463" s="70"/>
      <c r="AC463" s="70"/>
      <c r="AD463" s="70"/>
      <c r="AE463" s="70"/>
      <c r="AF463" s="70"/>
      <c r="AG463" s="70"/>
      <c r="AH463" s="70"/>
    </row>
    <row r="464" spans="19:34" x14ac:dyDescent="0.25">
      <c r="S464" s="116"/>
      <c r="T464" s="70">
        <f>+F38</f>
        <v>3.7208333333333342E-4</v>
      </c>
      <c r="U464" s="69">
        <f t="shared" si="138"/>
        <v>2.6965117182282646E-8</v>
      </c>
      <c r="V464" s="69">
        <f t="shared" si="139"/>
        <v>3.3143245399305565E-4</v>
      </c>
      <c r="W464" s="69">
        <f t="shared" si="140"/>
        <v>0.36453710099529019</v>
      </c>
      <c r="X464" s="69">
        <f t="shared" si="141"/>
        <v>0.60376907919774281</v>
      </c>
      <c r="Y464" s="70">
        <f t="shared" si="142"/>
        <v>1.9744722228503913E-4</v>
      </c>
      <c r="Z464" s="70">
        <f t="shared" si="143"/>
        <v>2.0716993092287119E-5</v>
      </c>
      <c r="AA464" s="70">
        <f t="shared" si="144"/>
        <v>1.0208648840268955E-12</v>
      </c>
      <c r="AB464" s="70">
        <f t="shared" ref="AB464:AB469" si="145">(($T$463*V464)*SQRT($R$11*T464))*(1-D63)</f>
        <v>3.7602339777761629E-9</v>
      </c>
      <c r="AC464" s="70"/>
      <c r="AD464" s="70"/>
      <c r="AE464" s="70"/>
      <c r="AF464" s="70"/>
      <c r="AG464" s="70"/>
      <c r="AH464" s="70"/>
    </row>
    <row r="465" spans="19:34" x14ac:dyDescent="0.25">
      <c r="S465" s="116"/>
      <c r="T465" s="70">
        <f>+I38</f>
        <v>7.1666666666666683E-5</v>
      </c>
      <c r="U465" s="69">
        <f t="shared" si="138"/>
        <v>6.4613627180285865E-9</v>
      </c>
      <c r="V465" s="69">
        <f t="shared" si="139"/>
        <v>6.38369340277778E-5</v>
      </c>
      <c r="W465" s="69">
        <f t="shared" si="140"/>
        <v>0.57891172563229198</v>
      </c>
      <c r="X465" s="69">
        <f t="shared" si="141"/>
        <v>0.76086248799128742</v>
      </c>
      <c r="Y465" s="70">
        <f t="shared" si="142"/>
        <v>4.8843126769431317E-5</v>
      </c>
      <c r="Z465" s="70">
        <f t="shared" si="143"/>
        <v>5.1248263114445685E-6</v>
      </c>
      <c r="AA465" s="70">
        <f t="shared" si="144"/>
        <v>2.7548747196929554E-13</v>
      </c>
      <c r="AB465" s="70">
        <f t="shared" si="145"/>
        <v>3.1536846922741933E-10</v>
      </c>
      <c r="AC465" s="70">
        <f>(($T$464*W465)*SQRT($R$12*U465))*(1-E64)</f>
        <v>2.2977883201517411E-8</v>
      </c>
      <c r="AD465" s="70"/>
      <c r="AE465" s="70"/>
      <c r="AF465" s="70"/>
      <c r="AG465" s="70"/>
      <c r="AH465" s="70"/>
    </row>
    <row r="466" spans="19:34" x14ac:dyDescent="0.25">
      <c r="S466" s="116"/>
      <c r="T466" s="70">
        <f>+H38</f>
        <v>8.0416666666666692E-5</v>
      </c>
      <c r="U466" s="69">
        <f t="shared" si="138"/>
        <v>7.0856702744356015E-9</v>
      </c>
      <c r="V466" s="69">
        <f t="shared" si="139"/>
        <v>7.1630978298611137E-5</v>
      </c>
      <c r="W466" s="69">
        <f t="shared" si="140"/>
        <v>0.54235185847350886</v>
      </c>
      <c r="X466" s="69">
        <f t="shared" si="141"/>
        <v>0.73644542124553181</v>
      </c>
      <c r="Y466" s="70">
        <f t="shared" si="142"/>
        <v>5.1539002949641164E-5</v>
      </c>
      <c r="Z466" s="70">
        <f t="shared" si="143"/>
        <v>5.4076889800438866E-6</v>
      </c>
      <c r="AA466" s="70">
        <f t="shared" si="144"/>
        <v>2.9632744166885533E-13</v>
      </c>
      <c r="AB466" s="70">
        <f t="shared" si="145"/>
        <v>3.6894014126272297E-10</v>
      </c>
      <c r="AC466" s="70">
        <f>(($T$464*W466)*SQRT($R$12*U466))*(1-E65)</f>
        <v>2.2542766513453026E-8</v>
      </c>
      <c r="AD466" s="70">
        <f>(($T$465*X466)*SQRT($R$13*V466))*(1-F65)</f>
        <v>7.4703149414728082E-7</v>
      </c>
      <c r="AE466" s="70"/>
      <c r="AF466" s="70"/>
      <c r="AG466" s="70"/>
      <c r="AH466" s="70"/>
    </row>
    <row r="467" spans="19:34" x14ac:dyDescent="0.25">
      <c r="S467" s="116"/>
      <c r="T467" s="70">
        <f>+D38</f>
        <v>1.6625000000000006E-4</v>
      </c>
      <c r="U467" s="69">
        <f t="shared" si="138"/>
        <v>1.8045717127637361E-8</v>
      </c>
      <c r="V467" s="69">
        <f t="shared" si="139"/>
        <v>1.480868411458334E-4</v>
      </c>
      <c r="W467" s="69">
        <f t="shared" si="140"/>
        <v>0.8050809492880614</v>
      </c>
      <c r="X467" s="69">
        <f t="shared" si="141"/>
        <v>0.89726303238685889</v>
      </c>
      <c r="Y467" s="70">
        <f t="shared" si="142"/>
        <v>1.2726561395146266E-4</v>
      </c>
      <c r="Z467" s="70">
        <f t="shared" si="143"/>
        <v>1.3353243538224783E-5</v>
      </c>
      <c r="AA467" s="70">
        <f t="shared" si="144"/>
        <v>8.5266029279856669E-13</v>
      </c>
      <c r="AB467" s="70">
        <f t="shared" si="145"/>
        <v>1.1259742371833967E-9</v>
      </c>
      <c r="AC467" s="70">
        <f>(($T$464*W467)*SQRT($R$12*U467))*(1-E66)</f>
        <v>5.3402579274842663E-8</v>
      </c>
      <c r="AD467" s="70">
        <f>(($T$465*X467)*SQRT($R$13*V467))*(1-F66)</f>
        <v>1.3159857249445356E-6</v>
      </c>
      <c r="AE467" s="70">
        <f>(($T$466*Y467)*SQRT($R$14*W467))*(1-G66)</f>
        <v>1.4864216126735502E-8</v>
      </c>
      <c r="AF467" s="70"/>
      <c r="AG467" s="70"/>
      <c r="AH467" s="70"/>
    </row>
    <row r="468" spans="19:34" x14ac:dyDescent="0.25">
      <c r="S468" s="116"/>
      <c r="T468" s="70">
        <f>+J38</f>
        <v>4.8973749999999996E-2</v>
      </c>
      <c r="U468" s="69">
        <f t="shared" si="138"/>
        <v>1.1758720155590602E-6</v>
      </c>
      <c r="V468" s="69">
        <f t="shared" si="139"/>
        <v>4.362326578385417E-2</v>
      </c>
      <c r="W468" s="69">
        <f t="shared" si="140"/>
        <v>1.8651528335962096E-2</v>
      </c>
      <c r="X468" s="69">
        <f t="shared" si="141"/>
        <v>0.13657059835836591</v>
      </c>
      <c r="Y468" s="70">
        <f t="shared" si="142"/>
        <v>5.7723724240720921E-3</v>
      </c>
      <c r="Z468" s="70">
        <f t="shared" si="143"/>
        <v>6.0566159529442721E-4</v>
      </c>
      <c r="AA468" s="70">
        <f t="shared" si="144"/>
        <v>2.4539743077782527E-11</v>
      </c>
      <c r="AB468" s="70">
        <f t="shared" si="145"/>
        <v>5.2114824695906562E-6</v>
      </c>
      <c r="AC468" s="70">
        <f>(($T$464*W468)*SQRT($R$12*U468))*(1-E67)</f>
        <v>8.9552400578661809E-9</v>
      </c>
      <c r="AD468" s="70">
        <f>(($T$465*X468)*SQRT($R$13*V468))*(1-F67)</f>
        <v>3.1452272605422436E-6</v>
      </c>
      <c r="AE468" s="70">
        <f>(($T$466*Y468)*SQRT($R$14*W468))*(1-G67)</f>
        <v>9.3156442104445164E-8</v>
      </c>
      <c r="AF468" s="70">
        <f>(($T$467*Z468)*SQRT($R$15*X468))*(1-H67)</f>
        <v>6.6047609934374347E-8</v>
      </c>
      <c r="AG468" s="70"/>
      <c r="AH468" s="70"/>
    </row>
    <row r="469" spans="19:34" x14ac:dyDescent="0.25">
      <c r="S469" s="116"/>
      <c r="T469" s="70">
        <f>L38</f>
        <v>1.1787499999999999E-3</v>
      </c>
      <c r="U469" s="69">
        <f t="shared" si="138"/>
        <v>3.1418003257132311E-8</v>
      </c>
      <c r="V469" s="69">
        <f t="shared" si="139"/>
        <v>1.0499691067708333E-3</v>
      </c>
      <c r="W469" s="69">
        <f t="shared" si="140"/>
        <v>8.5334097849090448E-2</v>
      </c>
      <c r="X469" s="69">
        <f t="shared" si="141"/>
        <v>0.29212000590355064</v>
      </c>
      <c r="Y469" s="70">
        <f t="shared" si="142"/>
        <v>2.7852969105311183E-4</v>
      </c>
      <c r="Z469" s="70">
        <f t="shared" si="143"/>
        <v>2.9224506775861625E-5</v>
      </c>
      <c r="AA469" s="70">
        <f t="shared" si="144"/>
        <v>6.320492751436464E-13</v>
      </c>
      <c r="AB469" s="70">
        <f t="shared" si="145"/>
        <v>1.8632759154857414E-8</v>
      </c>
      <c r="AC469" s="70">
        <f>(($T$464*W469)*SQRT($R$12*U469))*(1-E68)</f>
        <v>6.5724936400346328E-9</v>
      </c>
      <c r="AD469" s="70">
        <f>(($T$465*X469)*SQRT($R$13*V469))*(1-F68)</f>
        <v>9.8325522255198677E-7</v>
      </c>
      <c r="AE469" s="70">
        <f>(($T$466*Y469)*SQRT($R$14*W469))*(1-G68)</f>
        <v>8.271704124063562E-9</v>
      </c>
      <c r="AF469" s="70">
        <f>(($T$467*Z469)*SQRT($R$15*X469))*(1-H68)</f>
        <v>4.5459993773204402E-9</v>
      </c>
      <c r="AG469" s="70">
        <f>(($T$468*AA469)*SQRT($R$16*Y469))*(1-I68)</f>
        <v>1.3801357029376275E-16</v>
      </c>
      <c r="AH469" s="70"/>
    </row>
    <row r="470" spans="19:34" x14ac:dyDescent="0.25">
      <c r="S470" s="116"/>
      <c r="T470" s="130" t="s">
        <v>77</v>
      </c>
      <c r="U470" s="133">
        <f>SUM(U460:U469)</f>
        <v>2.7587533374021062E-5</v>
      </c>
      <c r="V470" s="108"/>
      <c r="W470" s="108"/>
      <c r="X470" s="108"/>
      <c r="Y470" s="70">
        <f>SUM(Y461:Y469)</f>
        <v>2.5780092660171505E-2</v>
      </c>
      <c r="Z470" s="70">
        <f t="shared" ref="Z470:AG470" si="146">SUM(Z461:Z469)</f>
        <v>8.9219845234030928E-4</v>
      </c>
      <c r="AA470" s="70">
        <f t="shared" si="146"/>
        <v>2.8814490805871689E-11</v>
      </c>
      <c r="AB470" s="70">
        <f t="shared" si="146"/>
        <v>5.2356857455709629E-6</v>
      </c>
      <c r="AC470" s="70">
        <f t="shared" si="146"/>
        <v>1.1445096268771392E-7</v>
      </c>
      <c r="AD470" s="70">
        <f t="shared" si="146"/>
        <v>6.1914997021860473E-6</v>
      </c>
      <c r="AE470" s="70">
        <f t="shared" si="146"/>
        <v>1.1629236235524422E-7</v>
      </c>
      <c r="AF470" s="70">
        <f t="shared" si="146"/>
        <v>7.0593609311694785E-8</v>
      </c>
      <c r="AG470" s="70">
        <f t="shared" si="146"/>
        <v>1.3801357029376275E-16</v>
      </c>
      <c r="AH470" s="130">
        <f>SUM(Y470:AG470)</f>
        <v>2.6684019663708553E-2</v>
      </c>
    </row>
    <row r="471" spans="19:34" x14ac:dyDescent="0.25">
      <c r="S471" s="116"/>
    </row>
    <row r="472" spans="19:34" x14ac:dyDescent="0.25">
      <c r="S472" s="116"/>
      <c r="T472" s="112" t="s">
        <v>99</v>
      </c>
      <c r="U472" s="108"/>
      <c r="V472" s="108"/>
      <c r="W472" s="108"/>
      <c r="X472" s="108"/>
      <c r="Y472" s="108"/>
      <c r="Z472" s="108"/>
      <c r="AA472" s="108"/>
      <c r="AB472" s="108"/>
    </row>
    <row r="473" spans="19:34" x14ac:dyDescent="0.25">
      <c r="S473" s="116"/>
      <c r="T473" s="137" t="s">
        <v>100</v>
      </c>
      <c r="U473" s="138">
        <f>+AH470</f>
        <v>2.6684019663708553E-2</v>
      </c>
      <c r="V473" s="138" t="s">
        <v>101</v>
      </c>
      <c r="W473" s="139"/>
      <c r="X473" s="108"/>
      <c r="Y473" s="108"/>
      <c r="Z473" s="108"/>
      <c r="AA473" s="108"/>
      <c r="AB473" s="108"/>
    </row>
    <row r="474" spans="19:34" x14ac:dyDescent="0.25">
      <c r="S474" s="116"/>
      <c r="T474" s="137" t="s">
        <v>103</v>
      </c>
      <c r="U474" s="138">
        <f>+U470</f>
        <v>2.7587533374021062E-5</v>
      </c>
      <c r="V474" s="138" t="s">
        <v>101</v>
      </c>
      <c r="W474" s="108"/>
      <c r="X474" s="108"/>
      <c r="Y474" s="108"/>
      <c r="Z474" s="140" t="e">
        <f>(U478*U478)+(2*U474*U478)-(U474*U474)</f>
        <v>#DIV/0!</v>
      </c>
      <c r="AA474" s="108"/>
      <c r="AB474" s="108"/>
    </row>
    <row r="475" spans="19:34" x14ac:dyDescent="0.25">
      <c r="S475" s="116"/>
      <c r="T475" s="137" t="s">
        <v>104</v>
      </c>
      <c r="U475" s="138">
        <v>8.3145100000000003</v>
      </c>
      <c r="V475" s="138" t="s">
        <v>105</v>
      </c>
      <c r="W475" s="108"/>
      <c r="X475" s="108"/>
      <c r="Y475" s="108"/>
      <c r="Z475" s="140"/>
      <c r="AA475" s="108"/>
      <c r="AB475" s="108"/>
    </row>
    <row r="476" spans="19:34" x14ac:dyDescent="0.25">
      <c r="S476" s="116"/>
      <c r="T476" s="137" t="s">
        <v>106</v>
      </c>
      <c r="U476" s="141">
        <f>B38*98066.5</f>
        <v>0</v>
      </c>
      <c r="V476" s="142" t="s">
        <v>107</v>
      </c>
      <c r="W476" s="108"/>
      <c r="X476" s="108"/>
      <c r="Y476" s="108"/>
      <c r="Z476" s="140" t="e">
        <f>U473/Z474</f>
        <v>#DIV/0!</v>
      </c>
      <c r="AA476" s="108"/>
      <c r="AB476" s="108"/>
    </row>
    <row r="477" spans="19:34" x14ac:dyDescent="0.25">
      <c r="S477" s="116"/>
      <c r="T477" s="137" t="s">
        <v>108</v>
      </c>
      <c r="U477" s="141" t="s">
        <v>109</v>
      </c>
      <c r="V477" s="138" t="s">
        <v>110</v>
      </c>
      <c r="W477" s="108"/>
      <c r="X477" s="108"/>
      <c r="Y477" s="108"/>
      <c r="Z477" s="140"/>
      <c r="AA477" s="108"/>
      <c r="AB477" s="108"/>
    </row>
    <row r="478" spans="19:34" x14ac:dyDescent="0.25">
      <c r="S478" s="116"/>
      <c r="T478" s="137" t="s">
        <v>112</v>
      </c>
      <c r="U478" s="138" t="e">
        <f>+U486</f>
        <v>#DIV/0!</v>
      </c>
      <c r="V478" s="138" t="s">
        <v>113</v>
      </c>
      <c r="W478" s="108"/>
      <c r="X478" s="108"/>
      <c r="Y478" s="108"/>
      <c r="Z478" s="140" t="e">
        <f>U478-U474</f>
        <v>#DIV/0!</v>
      </c>
      <c r="AA478" s="108"/>
      <c r="AB478" s="108"/>
    </row>
    <row r="479" spans="19:34" x14ac:dyDescent="0.25">
      <c r="S479" s="116"/>
      <c r="T479" s="108"/>
      <c r="U479" s="108"/>
      <c r="V479" s="108"/>
      <c r="W479" s="108"/>
      <c r="X479" s="108"/>
      <c r="Y479" s="108"/>
      <c r="Z479" s="108"/>
      <c r="AA479" s="108"/>
      <c r="AB479" s="108"/>
    </row>
    <row r="480" spans="19:34" x14ac:dyDescent="0.25">
      <c r="S480" s="116"/>
      <c r="T480" s="108"/>
      <c r="U480" s="108"/>
      <c r="V480" s="108"/>
      <c r="W480" s="108"/>
      <c r="X480" s="108"/>
      <c r="Y480" s="108"/>
      <c r="Z480" s="108"/>
      <c r="AA480" s="108"/>
      <c r="AB480" s="108"/>
    </row>
    <row r="481" spans="19:34" x14ac:dyDescent="0.25">
      <c r="S481" s="116"/>
      <c r="T481" s="108"/>
      <c r="U481" s="108"/>
      <c r="V481" s="108"/>
      <c r="W481" s="108"/>
      <c r="X481" s="108"/>
      <c r="Y481" s="108"/>
      <c r="Z481" s="108"/>
      <c r="AA481" s="108"/>
      <c r="AB481" s="108"/>
    </row>
    <row r="482" spans="19:34" x14ac:dyDescent="0.25">
      <c r="S482" s="116"/>
      <c r="T482" s="108" t="s">
        <v>116</v>
      </c>
      <c r="U482" s="108">
        <v>0.98</v>
      </c>
      <c r="V482" s="108"/>
      <c r="W482" s="108"/>
      <c r="X482" s="108"/>
      <c r="Y482" s="108"/>
      <c r="Z482" s="108"/>
      <c r="AA482" s="108"/>
      <c r="AB482" s="108"/>
    </row>
    <row r="483" spans="19:34" x14ac:dyDescent="0.25">
      <c r="S483" s="116"/>
      <c r="T483" s="108" t="s">
        <v>106</v>
      </c>
      <c r="U483" s="143">
        <f>U476</f>
        <v>0</v>
      </c>
      <c r="V483" s="108" t="s">
        <v>117</v>
      </c>
      <c r="W483" s="108"/>
      <c r="X483" s="108"/>
      <c r="Y483" s="108"/>
      <c r="Z483" s="108"/>
      <c r="AA483" s="108"/>
      <c r="AB483" s="108"/>
    </row>
    <row r="484" spans="19:34" x14ac:dyDescent="0.25">
      <c r="S484" s="116"/>
      <c r="T484" s="108" t="s">
        <v>118</v>
      </c>
      <c r="U484" s="143">
        <f>C38+273.15</f>
        <v>273.14999999999998</v>
      </c>
      <c r="V484" s="108" t="s">
        <v>49</v>
      </c>
      <c r="W484" s="108"/>
      <c r="X484" s="108"/>
      <c r="Y484" s="108"/>
      <c r="Z484" s="108"/>
      <c r="AA484" s="108"/>
      <c r="AB484" s="108"/>
    </row>
    <row r="485" spans="19:34" x14ac:dyDescent="0.25">
      <c r="S485" s="116"/>
      <c r="T485" s="108"/>
      <c r="U485" s="108"/>
      <c r="V485" s="108"/>
      <c r="W485" s="108"/>
      <c r="X485" s="108"/>
      <c r="Y485" s="108"/>
      <c r="Z485" s="108"/>
      <c r="AA485" s="108"/>
      <c r="AB485" s="108"/>
    </row>
    <row r="486" spans="19:34" x14ac:dyDescent="0.25">
      <c r="S486" s="116"/>
      <c r="T486" s="108" t="s">
        <v>121</v>
      </c>
      <c r="U486" s="108" t="e">
        <f>(0.98*U475*U484)/U483</f>
        <v>#DIV/0!</v>
      </c>
      <c r="V486" s="108" t="s">
        <v>113</v>
      </c>
      <c r="W486" s="108"/>
      <c r="X486" s="108"/>
      <c r="Y486" s="108"/>
      <c r="Z486" s="108"/>
      <c r="AA486" s="108"/>
      <c r="AB486" s="108"/>
    </row>
    <row r="487" spans="19:34" x14ac:dyDescent="0.25">
      <c r="S487" s="116"/>
      <c r="T487" s="144"/>
      <c r="U487" s="145"/>
      <c r="V487" s="145"/>
      <c r="W487" s="116"/>
      <c r="X487" s="116"/>
      <c r="Y487" s="116"/>
      <c r="Z487" s="146"/>
      <c r="AA487" s="116"/>
      <c r="AB487" s="116"/>
      <c r="AC487" s="116"/>
      <c r="AD487" s="116"/>
      <c r="AE487" s="116"/>
      <c r="AF487" s="116"/>
      <c r="AG487" s="116"/>
      <c r="AH487" s="116"/>
    </row>
    <row r="488" spans="19:34" ht="15.75" thickBot="1" x14ac:dyDescent="0.3">
      <c r="S488" s="116"/>
      <c r="T488" s="144"/>
      <c r="U488" s="145"/>
      <c r="V488" s="145"/>
      <c r="W488" s="116"/>
      <c r="X488" s="116"/>
      <c r="Y488" s="116"/>
      <c r="Z488" s="146"/>
      <c r="AA488" s="116"/>
      <c r="AB488" s="116"/>
      <c r="AC488" s="116"/>
      <c r="AD488" s="116"/>
      <c r="AE488" s="116"/>
      <c r="AF488" s="116"/>
      <c r="AG488" s="116"/>
      <c r="AH488" s="116"/>
    </row>
    <row r="489" spans="19:34" ht="15.75" thickBot="1" x14ac:dyDescent="0.3">
      <c r="S489" s="116"/>
      <c r="V489" s="162" t="s">
        <v>60</v>
      </c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4"/>
    </row>
    <row r="490" spans="19:34" x14ac:dyDescent="0.25">
      <c r="S490" s="116"/>
      <c r="Y490" s="175" t="s">
        <v>63</v>
      </c>
      <c r="Z490" s="175"/>
      <c r="AA490" s="175"/>
      <c r="AB490" s="175"/>
      <c r="AC490" s="175"/>
      <c r="AD490" s="175"/>
      <c r="AE490" s="175"/>
      <c r="AF490" s="175"/>
      <c r="AG490" s="175"/>
      <c r="AH490" s="175"/>
    </row>
    <row r="491" spans="19:34" ht="17.25" x14ac:dyDescent="0.25">
      <c r="S491" s="116">
        <v>16</v>
      </c>
      <c r="T491" s="70" t="s">
        <v>76</v>
      </c>
      <c r="U491" s="130" t="s">
        <v>77</v>
      </c>
      <c r="V491" s="70" t="s">
        <v>78</v>
      </c>
      <c r="W491" s="70" t="s">
        <v>79</v>
      </c>
      <c r="X491" s="70" t="s">
        <v>80</v>
      </c>
      <c r="Y491" s="131" t="s">
        <v>30</v>
      </c>
      <c r="Z491" s="131" t="s">
        <v>32</v>
      </c>
      <c r="AA491" s="131" t="s">
        <v>81</v>
      </c>
      <c r="AB491" s="131" t="s">
        <v>25</v>
      </c>
      <c r="AC491" s="131" t="s">
        <v>26</v>
      </c>
      <c r="AD491" s="131" t="s">
        <v>27</v>
      </c>
      <c r="AE491" s="131" t="s">
        <v>28</v>
      </c>
      <c r="AF491" s="131" t="s">
        <v>82</v>
      </c>
      <c r="AG491" s="131" t="s">
        <v>29</v>
      </c>
      <c r="AH491" s="132" t="s">
        <v>31</v>
      </c>
    </row>
    <row r="492" spans="19:34" x14ac:dyDescent="0.25">
      <c r="S492" s="116"/>
      <c r="T492" s="70">
        <f>K39</f>
        <v>0.89534958333333337</v>
      </c>
      <c r="U492" s="69">
        <f>+S8*T492</f>
        <v>2.3998120372005166E-5</v>
      </c>
      <c r="V492" s="69">
        <f>$T$492*T492</f>
        <v>0.80165087637517363</v>
      </c>
      <c r="W492" s="69">
        <f>$R$8*R8</f>
        <v>4.2845172623208805E-2</v>
      </c>
      <c r="X492" s="69">
        <f>SQRT(W492)</f>
        <v>0.20699075492207086</v>
      </c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</row>
    <row r="493" spans="19:34" x14ac:dyDescent="0.25">
      <c r="S493" s="116"/>
      <c r="T493" s="70">
        <f>M39</f>
        <v>5.4080416666666659E-2</v>
      </c>
      <c r="U493" s="69">
        <f t="shared" ref="U493:U501" si="147">+S9*T493</f>
        <v>2.1923215861742083E-6</v>
      </c>
      <c r="V493" s="69">
        <f t="shared" ref="V493:V501" si="148">$T$492*T493</f>
        <v>4.8420878528993051E-2</v>
      </c>
      <c r="W493" s="69">
        <f t="shared" ref="W493:W501" si="149">$R$8*R9</f>
        <v>0.12918986849197683</v>
      </c>
      <c r="X493" s="69">
        <f t="shared" ref="X493:X501" si="150">SQRT(W493)</f>
        <v>0.35942992153127268</v>
      </c>
      <c r="Y493" s="70">
        <f t="shared" ref="Y493:Y501" si="151">(($T$492*T493)*SQRT($R$8*R9))*(1-B60)</f>
        <v>1.7449162742833653E-2</v>
      </c>
      <c r="Z493" s="70"/>
      <c r="AA493" s="70"/>
      <c r="AB493" s="70"/>
      <c r="AC493" s="70"/>
      <c r="AD493" s="70"/>
      <c r="AE493" s="70"/>
      <c r="AF493" s="70"/>
      <c r="AG493" s="70"/>
      <c r="AH493" s="70"/>
    </row>
    <row r="494" spans="19:34" x14ac:dyDescent="0.25">
      <c r="S494" s="116"/>
      <c r="T494" s="70">
        <f>+E39</f>
        <v>3.6966666666666662E-3</v>
      </c>
      <c r="U494" s="69">
        <f t="shared" si="147"/>
        <v>2.0818248000641132E-7</v>
      </c>
      <c r="V494" s="69">
        <f t="shared" si="148"/>
        <v>3.3098089597222219E-3</v>
      </c>
      <c r="W494" s="69">
        <f t="shared" si="149"/>
        <v>0.24193902239770376</v>
      </c>
      <c r="X494" s="69">
        <f t="shared" si="150"/>
        <v>0.49187297384355622</v>
      </c>
      <c r="Y494" s="70">
        <f t="shared" si="151"/>
        <v>1.6052134978103998E-3</v>
      </c>
      <c r="Z494" s="70">
        <f t="shared" ref="Z494:Z501" si="152">(($T$493*T494)*SQRT($R$9*R10))*(1-B61)</f>
        <v>1.6836176722232989E-4</v>
      </c>
      <c r="AA494" s="70"/>
      <c r="AB494" s="70"/>
      <c r="AC494" s="70"/>
      <c r="AD494" s="70"/>
      <c r="AE494" s="70"/>
      <c r="AF494" s="70"/>
      <c r="AG494" s="70"/>
      <c r="AH494" s="70"/>
    </row>
    <row r="495" spans="19:34" x14ac:dyDescent="0.25">
      <c r="S495" s="116"/>
      <c r="T495" s="70">
        <f>+G39</f>
        <v>3.9666666666666675E-4</v>
      </c>
      <c r="U495" s="69">
        <f t="shared" si="147"/>
        <v>2.8736064974032178E-8</v>
      </c>
      <c r="V495" s="69">
        <f t="shared" si="148"/>
        <v>3.5515533472222233E-4</v>
      </c>
      <c r="W495" s="69">
        <f t="shared" si="149"/>
        <v>0.39059496580954223</v>
      </c>
      <c r="X495" s="69">
        <f t="shared" si="150"/>
        <v>0.62497597218576506</v>
      </c>
      <c r="Y495" s="70">
        <f t="shared" si="151"/>
        <v>2.1628128369975019E-4</v>
      </c>
      <c r="Z495" s="70">
        <f t="shared" si="152"/>
        <v>2.2684520900474645E-5</v>
      </c>
      <c r="AA495" s="70">
        <f t="shared" ref="AA495:AA501" si="153">(($T$494*U495)*SQRT($R$10*S11))*(1-C62)</f>
        <v>9.8404721968946033E-13</v>
      </c>
      <c r="AB495" s="70"/>
      <c r="AC495" s="70"/>
      <c r="AD495" s="70"/>
      <c r="AE495" s="70"/>
      <c r="AF495" s="70"/>
      <c r="AG495" s="70"/>
      <c r="AH495" s="70"/>
    </row>
    <row r="496" spans="19:34" x14ac:dyDescent="0.25">
      <c r="S496" s="116"/>
      <c r="T496" s="70">
        <f>+F39</f>
        <v>2.8750000000000016E-4</v>
      </c>
      <c r="U496" s="69">
        <f t="shared" si="147"/>
        <v>2.0835308909042588E-8</v>
      </c>
      <c r="V496" s="69">
        <f t="shared" si="148"/>
        <v>2.574130052083335E-4</v>
      </c>
      <c r="W496" s="69">
        <f t="shared" si="149"/>
        <v>0.36453710099529019</v>
      </c>
      <c r="X496" s="69">
        <f t="shared" si="150"/>
        <v>0.60376907919774281</v>
      </c>
      <c r="Y496" s="70">
        <f t="shared" si="151"/>
        <v>1.5335095355355476E-4</v>
      </c>
      <c r="Z496" s="70">
        <f t="shared" si="152"/>
        <v>1.6084114406416145E-5</v>
      </c>
      <c r="AA496" s="70">
        <f t="shared" si="153"/>
        <v>7.0206835931529236E-13</v>
      </c>
      <c r="AB496" s="70">
        <f t="shared" ref="AB496:AB501" si="154">(($T$495*V496)*SQRT($R$11*T496))*(1-D63)</f>
        <v>2.3704315607875624E-9</v>
      </c>
      <c r="AC496" s="70"/>
      <c r="AD496" s="70"/>
      <c r="AE496" s="70"/>
      <c r="AF496" s="70"/>
      <c r="AG496" s="70"/>
      <c r="AH496" s="70"/>
    </row>
    <row r="497" spans="19:34" x14ac:dyDescent="0.25">
      <c r="S497" s="116"/>
      <c r="T497" s="70">
        <f>+I39</f>
        <v>7.3333333333333372E-5</v>
      </c>
      <c r="U497" s="69">
        <f t="shared" si="147"/>
        <v>6.6116269672850673E-9</v>
      </c>
      <c r="V497" s="69">
        <f t="shared" si="148"/>
        <v>6.565896944444448E-5</v>
      </c>
      <c r="W497" s="69">
        <f t="shared" si="149"/>
        <v>0.57891172563229198</v>
      </c>
      <c r="X497" s="69">
        <f t="shared" si="150"/>
        <v>0.76086248799128742</v>
      </c>
      <c r="Y497" s="70">
        <f t="shared" si="151"/>
        <v>5.0237208552806433E-5</v>
      </c>
      <c r="Z497" s="70">
        <f t="shared" si="152"/>
        <v>5.26909674246102E-6</v>
      </c>
      <c r="AA497" s="70">
        <f t="shared" si="153"/>
        <v>2.5089937441139548E-13</v>
      </c>
      <c r="AB497" s="70">
        <f t="shared" si="154"/>
        <v>3.0297772840207885E-10</v>
      </c>
      <c r="AC497" s="70">
        <f>(($T$496*W497)*SQRT($R$12*U497))*(1-E64)</f>
        <v>1.7959728201063413E-8</v>
      </c>
      <c r="AD497" s="70"/>
      <c r="AE497" s="70"/>
      <c r="AF497" s="70"/>
      <c r="AG497" s="70"/>
      <c r="AH497" s="70"/>
    </row>
    <row r="498" spans="19:34" x14ac:dyDescent="0.25">
      <c r="S498" s="116"/>
      <c r="T498" s="70">
        <f>+H39</f>
        <v>8.5416666666666719E-5</v>
      </c>
      <c r="U498" s="69">
        <f t="shared" si="147"/>
        <v>7.526230084245071E-9</v>
      </c>
      <c r="V498" s="69">
        <f t="shared" si="148"/>
        <v>7.6477776909722272E-5</v>
      </c>
      <c r="W498" s="69">
        <f t="shared" si="149"/>
        <v>0.54235185847350886</v>
      </c>
      <c r="X498" s="69">
        <f t="shared" si="150"/>
        <v>0.73644542124553181</v>
      </c>
      <c r="Y498" s="70">
        <f t="shared" si="151"/>
        <v>5.5026309333661575E-5</v>
      </c>
      <c r="Z498" s="70">
        <f t="shared" si="152"/>
        <v>5.7713984437427817E-6</v>
      </c>
      <c r="AA498" s="70">
        <f t="shared" si="153"/>
        <v>2.8014438836902297E-13</v>
      </c>
      <c r="AB498" s="70">
        <f t="shared" si="154"/>
        <v>3.7485804981856143E-10</v>
      </c>
      <c r="AC498" s="70">
        <f>(($T$496*W498)*SQRT($R$12*U498))*(1-E65)</f>
        <v>1.7951598266091971E-8</v>
      </c>
      <c r="AD498" s="70">
        <f>(($T$497*X498)*SQRT($R$13*V498))*(1-F65)</f>
        <v>7.8984217306184582E-7</v>
      </c>
      <c r="AE498" s="70"/>
      <c r="AF498" s="70"/>
      <c r="AG498" s="70"/>
      <c r="AH498" s="70"/>
    </row>
    <row r="499" spans="19:34" x14ac:dyDescent="0.25">
      <c r="S499" s="116"/>
      <c r="T499" s="70">
        <f>+D39</f>
        <v>1.837500000000001E-4</v>
      </c>
      <c r="U499" s="69">
        <f t="shared" si="147"/>
        <v>1.9945266298967614E-8</v>
      </c>
      <c r="V499" s="69">
        <f t="shared" si="148"/>
        <v>1.6452048593750009E-4</v>
      </c>
      <c r="W499" s="69">
        <f t="shared" si="149"/>
        <v>0.8050809492880614</v>
      </c>
      <c r="X499" s="69">
        <f t="shared" si="150"/>
        <v>0.89726303238685889</v>
      </c>
      <c r="Y499" s="70">
        <f t="shared" si="151"/>
        <v>1.4138866416773478E-4</v>
      </c>
      <c r="Z499" s="70">
        <f t="shared" si="152"/>
        <v>1.4829457512633006E-5</v>
      </c>
      <c r="AA499" s="70">
        <f t="shared" si="153"/>
        <v>8.387938480605652E-13</v>
      </c>
      <c r="AB499" s="70">
        <f t="shared" si="154"/>
        <v>1.2143478216899371E-9</v>
      </c>
      <c r="AC499" s="70">
        <f>(($T$496*W499)*SQRT($R$12*U499))*(1-E66)</f>
        <v>4.3380316086106594E-8</v>
      </c>
      <c r="AD499" s="70">
        <f>(($T$497*X499)*SQRT($R$13*V499))*(1-F66)</f>
        <v>1.4193423338942809E-6</v>
      </c>
      <c r="AE499" s="70">
        <f>(($T$498*Y499)*SQRT($R$14*W499))*(1-G66)</f>
        <v>1.7540504394127126E-8</v>
      </c>
      <c r="AF499" s="70"/>
      <c r="AG499" s="70"/>
      <c r="AH499" s="70"/>
    </row>
    <row r="500" spans="19:34" x14ac:dyDescent="0.25">
      <c r="S500" s="116"/>
      <c r="T500" s="70">
        <f>+J39</f>
        <v>4.4594166666666671E-2</v>
      </c>
      <c r="U500" s="69">
        <f t="shared" si="147"/>
        <v>1.0707171217337861E-6</v>
      </c>
      <c r="V500" s="69">
        <f t="shared" si="148"/>
        <v>3.992736854409723E-2</v>
      </c>
      <c r="W500" s="69">
        <f t="shared" si="149"/>
        <v>1.8651528335962096E-2</v>
      </c>
      <c r="X500" s="69">
        <f t="shared" si="150"/>
        <v>0.13657059835836591</v>
      </c>
      <c r="Y500" s="70">
        <f t="shared" si="151"/>
        <v>5.283319279479848E-3</v>
      </c>
      <c r="Z500" s="70">
        <f t="shared" si="152"/>
        <v>5.5413748507994302E-4</v>
      </c>
      <c r="AA500" s="70">
        <f t="shared" si="153"/>
        <v>1.9888324990485993E-11</v>
      </c>
      <c r="AB500" s="70">
        <f t="shared" si="154"/>
        <v>4.2029035522755044E-6</v>
      </c>
      <c r="AC500" s="70">
        <f>(($T$496*W500)*SQRT($R$12*U500))*(1-E67)</f>
        <v>6.6028618453619514E-9</v>
      </c>
      <c r="AD500" s="70">
        <f>(($T$497*X500)*SQRT($R$13*V500))*(1-F67)</f>
        <v>3.0790199915603575E-6</v>
      </c>
      <c r="AE500" s="70">
        <f>(($T$498*Y500)*SQRT($R$14*W500))*(1-G67)</f>
        <v>9.0565326812589777E-8</v>
      </c>
      <c r="AF500" s="70">
        <f>(($T$499*Z500)*SQRT($R$15*X500))*(1-H67)</f>
        <v>6.6789823134819479E-8</v>
      </c>
      <c r="AG500" s="70"/>
      <c r="AH500" s="70"/>
    </row>
    <row r="501" spans="19:34" x14ac:dyDescent="0.25">
      <c r="S501" s="116"/>
      <c r="T501" s="70">
        <f>L39</f>
        <v>1.2574999999999999E-3</v>
      </c>
      <c r="U501" s="69">
        <f t="shared" si="147"/>
        <v>3.3516979084491098E-8</v>
      </c>
      <c r="V501" s="69">
        <f t="shared" si="148"/>
        <v>1.1259021010416666E-3</v>
      </c>
      <c r="W501" s="69">
        <f t="shared" si="149"/>
        <v>8.5334097849090448E-2</v>
      </c>
      <c r="X501" s="69">
        <f t="shared" si="150"/>
        <v>0.29212000590355064</v>
      </c>
      <c r="Y501" s="70">
        <f t="shared" si="151"/>
        <v>2.9867275364286577E-4</v>
      </c>
      <c r="Z501" s="70">
        <f t="shared" si="152"/>
        <v>3.1326096306232199E-5</v>
      </c>
      <c r="AA501" s="70">
        <f t="shared" si="153"/>
        <v>6.0013745109364571E-13</v>
      </c>
      <c r="AB501" s="70">
        <f t="shared" si="154"/>
        <v>1.9055603428125538E-8</v>
      </c>
      <c r="AC501" s="70">
        <f>(($T$496*W501)*SQRT($R$12*U501))*(1-E68)</f>
        <v>5.2453074648170708E-9</v>
      </c>
      <c r="AD501" s="70">
        <f>(($T$497*X501)*SQRT($R$13*V501))*(1-F68)</f>
        <v>1.0418676107289216E-6</v>
      </c>
      <c r="AE501" s="70">
        <f>(($T$498*Y501)*SQRT($R$14*W501))*(1-G68)</f>
        <v>9.4214045392384013E-9</v>
      </c>
      <c r="AF501" s="70">
        <f>(($T$499*Z501)*SQRT($R$15*X501))*(1-H68)</f>
        <v>5.3858487641690207E-9</v>
      </c>
      <c r="AG501" s="70">
        <f>(($T$500*AA501)*SQRT($R$16*Y501))*(1-I68)</f>
        <v>1.2356581263204589E-16</v>
      </c>
      <c r="AH501" s="70"/>
    </row>
    <row r="502" spans="19:34" x14ac:dyDescent="0.25">
      <c r="S502" s="116"/>
      <c r="T502" s="130" t="s">
        <v>77</v>
      </c>
      <c r="U502" s="133">
        <f>SUM(U492:U501)</f>
        <v>2.7586513036237641E-5</v>
      </c>
      <c r="V502" s="108"/>
      <c r="W502" s="108"/>
      <c r="X502" s="108"/>
      <c r="Y502" s="70">
        <f>SUM(Y493:Y501)</f>
        <v>2.5252652693074272E-2</v>
      </c>
      <c r="Z502" s="70">
        <f t="shared" ref="Z502:AG502" si="155">SUM(Z493:Z501)</f>
        <v>8.1846393661423275E-4</v>
      </c>
      <c r="AA502" s="70">
        <f t="shared" si="155"/>
        <v>2.3544415631425373E-11</v>
      </c>
      <c r="AB502" s="70">
        <f t="shared" si="155"/>
        <v>4.2262217708643279E-6</v>
      </c>
      <c r="AC502" s="70">
        <f t="shared" si="155"/>
        <v>9.1139811863441005E-8</v>
      </c>
      <c r="AD502" s="70">
        <f t="shared" si="155"/>
        <v>6.3300721092454059E-6</v>
      </c>
      <c r="AE502" s="70">
        <f t="shared" si="155"/>
        <v>1.1752723574595531E-7</v>
      </c>
      <c r="AF502" s="70">
        <f t="shared" si="155"/>
        <v>7.2175671898988501E-8</v>
      </c>
      <c r="AG502" s="70">
        <f t="shared" si="155"/>
        <v>1.2356581263204589E-16</v>
      </c>
      <c r="AH502" s="130">
        <f>SUM(Y502:AG502)</f>
        <v>2.6081953789832663E-2</v>
      </c>
    </row>
    <row r="503" spans="19:34" x14ac:dyDescent="0.25">
      <c r="S503" s="116"/>
    </row>
    <row r="504" spans="19:34" x14ac:dyDescent="0.25">
      <c r="S504" s="116"/>
      <c r="T504" s="112" t="s">
        <v>99</v>
      </c>
      <c r="U504" s="108"/>
      <c r="V504" s="108"/>
      <c r="W504" s="108"/>
      <c r="X504" s="108"/>
      <c r="Y504" s="108"/>
      <c r="Z504" s="108"/>
      <c r="AA504" s="108"/>
      <c r="AB504" s="108"/>
    </row>
    <row r="505" spans="19:34" x14ac:dyDescent="0.25">
      <c r="S505" s="116"/>
      <c r="T505" s="137" t="s">
        <v>100</v>
      </c>
      <c r="U505" s="138">
        <f>+AH502</f>
        <v>2.6081953789832663E-2</v>
      </c>
      <c r="V505" s="138" t="s">
        <v>101</v>
      </c>
      <c r="W505" s="139"/>
      <c r="X505" s="108"/>
      <c r="Y505" s="108"/>
      <c r="Z505" s="108"/>
      <c r="AA505" s="108"/>
      <c r="AB505" s="108"/>
    </row>
    <row r="506" spans="19:34" x14ac:dyDescent="0.25">
      <c r="S506" s="116"/>
      <c r="T506" s="137" t="s">
        <v>103</v>
      </c>
      <c r="U506" s="138">
        <f>+U502</f>
        <v>2.7586513036237641E-5</v>
      </c>
      <c r="V506" s="138" t="s">
        <v>101</v>
      </c>
      <c r="W506" s="108"/>
      <c r="X506" s="108"/>
      <c r="Y506" s="108"/>
      <c r="Z506" s="140" t="e">
        <f>(U510*U510)+(2*U506*U510)-(U506*U506)</f>
        <v>#DIV/0!</v>
      </c>
      <c r="AA506" s="108"/>
      <c r="AB506" s="108"/>
    </row>
    <row r="507" spans="19:34" x14ac:dyDescent="0.25">
      <c r="S507" s="116"/>
      <c r="T507" s="137" t="s">
        <v>104</v>
      </c>
      <c r="U507" s="138">
        <v>8.3145100000000003</v>
      </c>
      <c r="V507" s="138" t="s">
        <v>105</v>
      </c>
      <c r="W507" s="108"/>
      <c r="X507" s="108"/>
      <c r="Y507" s="108"/>
      <c r="Z507" s="140"/>
      <c r="AA507" s="108"/>
      <c r="AB507" s="108"/>
    </row>
    <row r="508" spans="19:34" x14ac:dyDescent="0.25">
      <c r="S508" s="116"/>
      <c r="T508" s="137" t="s">
        <v>106</v>
      </c>
      <c r="U508" s="141">
        <f>B39*98066.5</f>
        <v>0</v>
      </c>
      <c r="V508" s="142" t="s">
        <v>107</v>
      </c>
      <c r="W508" s="108"/>
      <c r="X508" s="108"/>
      <c r="Y508" s="108"/>
      <c r="Z508" s="140" t="e">
        <f>U505/Z506</f>
        <v>#DIV/0!</v>
      </c>
      <c r="AA508" s="108"/>
      <c r="AB508" s="108"/>
    </row>
    <row r="509" spans="19:34" x14ac:dyDescent="0.25">
      <c r="S509" s="116"/>
      <c r="T509" s="137" t="s">
        <v>108</v>
      </c>
      <c r="U509" s="141" t="s">
        <v>109</v>
      </c>
      <c r="V509" s="138" t="s">
        <v>110</v>
      </c>
      <c r="W509" s="108"/>
      <c r="X509" s="108"/>
      <c r="Y509" s="108"/>
      <c r="Z509" s="140"/>
      <c r="AA509" s="108"/>
      <c r="AB509" s="108"/>
    </row>
    <row r="510" spans="19:34" x14ac:dyDescent="0.25">
      <c r="S510" s="116"/>
      <c r="T510" s="137" t="s">
        <v>112</v>
      </c>
      <c r="U510" s="138" t="e">
        <f>+U518</f>
        <v>#DIV/0!</v>
      </c>
      <c r="V510" s="138" t="s">
        <v>113</v>
      </c>
      <c r="W510" s="108"/>
      <c r="X510" s="108"/>
      <c r="Y510" s="108"/>
      <c r="Z510" s="140" t="e">
        <f>U510-U506</f>
        <v>#DIV/0!</v>
      </c>
      <c r="AA510" s="108"/>
      <c r="AB510" s="108"/>
    </row>
    <row r="511" spans="19:34" x14ac:dyDescent="0.25">
      <c r="S511" s="116"/>
      <c r="T511" s="108"/>
      <c r="U511" s="108"/>
      <c r="V511" s="108"/>
      <c r="W511" s="108"/>
      <c r="X511" s="108"/>
      <c r="Y511" s="108"/>
      <c r="Z511" s="108"/>
      <c r="AA511" s="108"/>
      <c r="AB511" s="108"/>
    </row>
    <row r="512" spans="19:34" x14ac:dyDescent="0.25">
      <c r="S512" s="116"/>
      <c r="T512" s="108"/>
      <c r="U512" s="108"/>
      <c r="V512" s="108"/>
      <c r="W512" s="108"/>
      <c r="X512" s="108"/>
      <c r="Y512" s="108"/>
      <c r="Z512" s="108"/>
      <c r="AA512" s="108"/>
      <c r="AB512" s="108"/>
    </row>
    <row r="513" spans="19:34" x14ac:dyDescent="0.25">
      <c r="S513" s="116"/>
      <c r="T513" s="108"/>
      <c r="U513" s="108"/>
      <c r="V513" s="108"/>
      <c r="W513" s="108"/>
      <c r="X513" s="108"/>
      <c r="Y513" s="108"/>
      <c r="Z513" s="108"/>
      <c r="AA513" s="108"/>
      <c r="AB513" s="108"/>
    </row>
    <row r="514" spans="19:34" x14ac:dyDescent="0.25">
      <c r="S514" s="116"/>
      <c r="T514" s="108" t="s">
        <v>116</v>
      </c>
      <c r="U514" s="108">
        <v>0.98</v>
      </c>
      <c r="V514" s="108"/>
      <c r="W514" s="108"/>
      <c r="X514" s="108"/>
      <c r="Y514" s="108"/>
      <c r="Z514" s="108"/>
      <c r="AA514" s="108"/>
      <c r="AB514" s="108"/>
    </row>
    <row r="515" spans="19:34" x14ac:dyDescent="0.25">
      <c r="S515" s="116"/>
      <c r="T515" s="108" t="s">
        <v>106</v>
      </c>
      <c r="U515" s="143">
        <f>U508</f>
        <v>0</v>
      </c>
      <c r="V515" s="108" t="s">
        <v>117</v>
      </c>
      <c r="W515" s="108"/>
      <c r="X515" s="108"/>
      <c r="Y515" s="108"/>
      <c r="Z515" s="108"/>
      <c r="AA515" s="108"/>
      <c r="AB515" s="108"/>
    </row>
    <row r="516" spans="19:34" x14ac:dyDescent="0.25">
      <c r="S516" s="116"/>
      <c r="T516" s="108" t="s">
        <v>118</v>
      </c>
      <c r="U516" s="143">
        <f>C39+273.15</f>
        <v>273.14999999999998</v>
      </c>
      <c r="V516" s="108" t="s">
        <v>49</v>
      </c>
      <c r="W516" s="108"/>
      <c r="X516" s="108"/>
      <c r="Y516" s="108"/>
      <c r="Z516" s="108"/>
      <c r="AA516" s="108"/>
      <c r="AB516" s="108"/>
    </row>
    <row r="517" spans="19:34" x14ac:dyDescent="0.25">
      <c r="S517" s="116"/>
      <c r="T517" s="108"/>
      <c r="U517" s="108"/>
      <c r="V517" s="108"/>
      <c r="W517" s="108"/>
      <c r="X517" s="108"/>
      <c r="Y517" s="108"/>
      <c r="Z517" s="108"/>
      <c r="AA517" s="108"/>
      <c r="AB517" s="108"/>
    </row>
    <row r="518" spans="19:34" x14ac:dyDescent="0.25">
      <c r="S518" s="116"/>
      <c r="T518" s="108" t="s">
        <v>121</v>
      </c>
      <c r="U518" s="108" t="e">
        <f>(0.98*U507*U516)/U515</f>
        <v>#DIV/0!</v>
      </c>
      <c r="V518" s="108" t="s">
        <v>113</v>
      </c>
      <c r="W518" s="108"/>
      <c r="X518" s="108"/>
      <c r="Y518" s="108"/>
      <c r="Z518" s="108"/>
      <c r="AA518" s="108"/>
      <c r="AB518" s="108"/>
    </row>
    <row r="519" spans="19:34" x14ac:dyDescent="0.25"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</row>
    <row r="520" spans="19:34" ht="15.75" thickBot="1" x14ac:dyDescent="0.3"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</row>
    <row r="521" spans="19:34" ht="15.75" thickBot="1" x14ac:dyDescent="0.3">
      <c r="S521" s="116"/>
      <c r="V521" s="162" t="s">
        <v>60</v>
      </c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  <c r="AG521" s="163"/>
      <c r="AH521" s="164"/>
    </row>
    <row r="522" spans="19:34" x14ac:dyDescent="0.25">
      <c r="S522" s="116"/>
      <c r="Y522" s="175" t="s">
        <v>63</v>
      </c>
      <c r="Z522" s="175"/>
      <c r="AA522" s="175"/>
      <c r="AB522" s="175"/>
      <c r="AC522" s="175"/>
      <c r="AD522" s="175"/>
      <c r="AE522" s="175"/>
      <c r="AF522" s="175"/>
      <c r="AG522" s="175"/>
      <c r="AH522" s="175"/>
    </row>
    <row r="523" spans="19:34" ht="17.25" x14ac:dyDescent="0.25">
      <c r="S523" s="116">
        <v>17</v>
      </c>
      <c r="T523" s="70" t="s">
        <v>76</v>
      </c>
      <c r="U523" s="130" t="s">
        <v>77</v>
      </c>
      <c r="V523" s="70" t="s">
        <v>78</v>
      </c>
      <c r="W523" s="70" t="s">
        <v>79</v>
      </c>
      <c r="X523" s="70" t="s">
        <v>80</v>
      </c>
      <c r="Y523" s="131" t="s">
        <v>30</v>
      </c>
      <c r="Z523" s="131" t="s">
        <v>32</v>
      </c>
      <c r="AA523" s="131" t="s">
        <v>81</v>
      </c>
      <c r="AB523" s="131" t="s">
        <v>25</v>
      </c>
      <c r="AC523" s="131" t="s">
        <v>26</v>
      </c>
      <c r="AD523" s="131" t="s">
        <v>27</v>
      </c>
      <c r="AE523" s="131" t="s">
        <v>28</v>
      </c>
      <c r="AF523" s="131" t="s">
        <v>82</v>
      </c>
      <c r="AG523" s="131" t="s">
        <v>29</v>
      </c>
      <c r="AH523" s="132" t="s">
        <v>31</v>
      </c>
    </row>
    <row r="524" spans="19:34" x14ac:dyDescent="0.25">
      <c r="S524" s="116"/>
      <c r="T524" s="70">
        <f>K40</f>
        <v>0.89227208333333341</v>
      </c>
      <c r="U524" s="69">
        <f>+S8*T524</f>
        <v>2.3915633914402887E-5</v>
      </c>
      <c r="V524" s="69">
        <f>$T$524*T524</f>
        <v>0.79614947069600706</v>
      </c>
      <c r="W524" s="69">
        <f>$R$8*R8</f>
        <v>4.2845172623208805E-2</v>
      </c>
      <c r="X524" s="69">
        <f>SQRT(W524)</f>
        <v>0.20699075492207086</v>
      </c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</row>
    <row r="525" spans="19:34" x14ac:dyDescent="0.25">
      <c r="S525" s="116"/>
      <c r="T525" s="70">
        <f>M40</f>
        <v>5.776708333333333E-2</v>
      </c>
      <c r="U525" s="69">
        <f t="shared" ref="U525:U533" si="156">+S9*T525</f>
        <v>2.3417723377129621E-6</v>
      </c>
      <c r="V525" s="69">
        <f t="shared" ref="V525:V533" si="157">$T$524*T525</f>
        <v>5.154395579392361E-2</v>
      </c>
      <c r="W525" s="69">
        <f t="shared" ref="W525:W533" si="158">$R$8*R9</f>
        <v>0.12918986849197683</v>
      </c>
      <c r="X525" s="69">
        <f t="shared" ref="X525:X533" si="159">SQRT(W525)</f>
        <v>0.35942992153127268</v>
      </c>
      <c r="Y525" s="70">
        <f t="shared" ref="Y525:Y533" si="160">(($T$524*T525)*SQRT($R$8*R9))*(1-B60)</f>
        <v>1.8574608730386043E-2</v>
      </c>
      <c r="Z525" s="70"/>
      <c r="AA525" s="70"/>
      <c r="AB525" s="70"/>
      <c r="AC525" s="70"/>
      <c r="AD525" s="70"/>
      <c r="AE525" s="70"/>
      <c r="AF525" s="70"/>
      <c r="AG525" s="70"/>
      <c r="AH525" s="70"/>
    </row>
    <row r="526" spans="19:34" x14ac:dyDescent="0.25">
      <c r="S526" s="116"/>
      <c r="T526" s="70">
        <f>+E40</f>
        <v>3.9787499999999996E-3</v>
      </c>
      <c r="U526" s="69">
        <f t="shared" si="156"/>
        <v>2.2406836131438478E-7</v>
      </c>
      <c r="V526" s="69">
        <f t="shared" si="157"/>
        <v>3.5501275515624998E-3</v>
      </c>
      <c r="W526" s="69">
        <f t="shared" si="158"/>
        <v>0.24193902239770376</v>
      </c>
      <c r="X526" s="69">
        <f t="shared" si="159"/>
        <v>0.49187297384355622</v>
      </c>
      <c r="Y526" s="70">
        <f t="shared" si="160"/>
        <v>1.7217648311626359E-3</v>
      </c>
      <c r="Z526" s="70">
        <f t="shared" ref="Z526:Z533" si="161">(($T$525*T526)*SQRT($R$9*R10))*(1-B61)</f>
        <v>1.9356206532383165E-4</v>
      </c>
      <c r="AA526" s="70"/>
      <c r="AB526" s="70"/>
      <c r="AC526" s="70"/>
      <c r="AD526" s="70"/>
      <c r="AE526" s="70"/>
      <c r="AF526" s="70"/>
      <c r="AG526" s="70"/>
      <c r="AH526" s="70"/>
    </row>
    <row r="527" spans="19:34" x14ac:dyDescent="0.25">
      <c r="S527" s="116"/>
      <c r="T527" s="70">
        <f>+G40</f>
        <v>4.0500000000000014E-4</v>
      </c>
      <c r="U527" s="69">
        <f t="shared" si="156"/>
        <v>2.9339763818024455E-8</v>
      </c>
      <c r="V527" s="69">
        <f t="shared" si="157"/>
        <v>3.6137019375000017E-4</v>
      </c>
      <c r="W527" s="69">
        <f t="shared" si="158"/>
        <v>0.39059496580954223</v>
      </c>
      <c r="X527" s="69">
        <f t="shared" si="159"/>
        <v>0.62497597218576506</v>
      </c>
      <c r="Y527" s="70">
        <f t="shared" si="160"/>
        <v>2.2006598734102331E-4</v>
      </c>
      <c r="Z527" s="70">
        <f t="shared" si="161"/>
        <v>2.4739979726785954E-5</v>
      </c>
      <c r="AA527" s="70">
        <f t="shared" ref="AA527:AA533" si="162">(($T$526*U527)*SQRT($R$10*S11))*(1-C62)</f>
        <v>1.0813881728267775E-12</v>
      </c>
      <c r="AB527" s="70"/>
      <c r="AC527" s="70"/>
      <c r="AD527" s="70"/>
      <c r="AE527" s="70"/>
      <c r="AF527" s="70"/>
      <c r="AG527" s="70"/>
      <c r="AH527" s="70"/>
    </row>
    <row r="528" spans="19:34" x14ac:dyDescent="0.25">
      <c r="S528" s="116"/>
      <c r="T528" s="70">
        <f>+F40</f>
        <v>2.6291666666666683E-4</v>
      </c>
      <c r="U528" s="69">
        <f t="shared" si="156"/>
        <v>1.9053739016820108E-8</v>
      </c>
      <c r="V528" s="69">
        <f t="shared" si="157"/>
        <v>2.345932019097224E-4</v>
      </c>
      <c r="W528" s="69">
        <f t="shared" si="158"/>
        <v>0.36453710099529019</v>
      </c>
      <c r="X528" s="69">
        <f t="shared" si="159"/>
        <v>0.60376907919774281</v>
      </c>
      <c r="Y528" s="70">
        <f t="shared" si="160"/>
        <v>1.3975630788709225E-4</v>
      </c>
      <c r="Z528" s="70">
        <f t="shared" si="161"/>
        <v>1.5711506651226062E-5</v>
      </c>
      <c r="AA528" s="70">
        <f t="shared" si="162"/>
        <v>6.9102861167476732E-13</v>
      </c>
      <c r="AB528" s="70">
        <f t="shared" ref="AB528:AB533" si="163">(($T$527*V528)*SQRT($R$11*T528))*(1-D63)</f>
        <v>2.1092682220410599E-9</v>
      </c>
      <c r="AC528" s="70"/>
      <c r="AD528" s="70"/>
      <c r="AE528" s="70"/>
      <c r="AF528" s="70"/>
      <c r="AG528" s="70"/>
      <c r="AH528" s="70"/>
    </row>
    <row r="529" spans="19:34" x14ac:dyDescent="0.25">
      <c r="S529" s="116"/>
      <c r="T529" s="70">
        <f>+I40</f>
        <v>6.2916666666666701E-5</v>
      </c>
      <c r="U529" s="69">
        <f t="shared" si="156"/>
        <v>5.6724754094320746E-9</v>
      </c>
      <c r="V529" s="69">
        <f t="shared" si="157"/>
        <v>5.6138785243055594E-5</v>
      </c>
      <c r="W529" s="69">
        <f t="shared" si="158"/>
        <v>0.57891172563229198</v>
      </c>
      <c r="X529" s="69">
        <f t="shared" si="159"/>
        <v>0.76086248799128742</v>
      </c>
      <c r="Y529" s="70">
        <f t="shared" si="160"/>
        <v>4.2953093629391756E-5</v>
      </c>
      <c r="Z529" s="70">
        <f t="shared" si="161"/>
        <v>4.8288182941562495E-6</v>
      </c>
      <c r="AA529" s="70">
        <f t="shared" si="162"/>
        <v>2.3168622752403934E-13</v>
      </c>
      <c r="AB529" s="70">
        <f t="shared" si="163"/>
        <v>2.4498591175014029E-10</v>
      </c>
      <c r="AC529" s="70">
        <f>(($T$528*W529)*SQRT($R$12*U529))*(1-E64)</f>
        <v>1.5212905520653079E-8</v>
      </c>
      <c r="AD529" s="70"/>
      <c r="AE529" s="70"/>
      <c r="AF529" s="70"/>
      <c r="AG529" s="70"/>
      <c r="AH529" s="70"/>
    </row>
    <row r="530" spans="19:34" x14ac:dyDescent="0.25">
      <c r="S530" s="116"/>
      <c r="T530" s="70">
        <f>+H40</f>
        <v>7.416666666666669E-5</v>
      </c>
      <c r="U530" s="69">
        <f t="shared" si="156"/>
        <v>6.5349705121737676E-9</v>
      </c>
      <c r="V530" s="69">
        <f t="shared" si="157"/>
        <v>6.6176846180555582E-5</v>
      </c>
      <c r="W530" s="69">
        <f t="shared" si="158"/>
        <v>0.54235185847350886</v>
      </c>
      <c r="X530" s="69">
        <f t="shared" si="159"/>
        <v>0.73644542124553181</v>
      </c>
      <c r="Y530" s="70">
        <f t="shared" si="160"/>
        <v>4.7614715748810794E-5</v>
      </c>
      <c r="Z530" s="70">
        <f t="shared" si="161"/>
        <v>5.3528812723649008E-6</v>
      </c>
      <c r="AA530" s="70">
        <f t="shared" si="162"/>
        <v>2.6180891381346214E-13</v>
      </c>
      <c r="AB530" s="70">
        <f t="shared" si="163"/>
        <v>3.0860292593499446E-10</v>
      </c>
      <c r="AC530" s="70">
        <f>(($T$528*W530)*SQRT($R$12*U530))*(1-E65)</f>
        <v>1.5297359034743257E-8</v>
      </c>
      <c r="AD530" s="70">
        <f>(($T$529*X530)*SQRT($R$13*V530))*(1-F65)</f>
        <v>6.3036196945172218E-7</v>
      </c>
      <c r="AE530" s="70"/>
      <c r="AF530" s="70"/>
      <c r="AG530" s="70"/>
      <c r="AH530" s="70"/>
    </row>
    <row r="531" spans="19:34" x14ac:dyDescent="0.25">
      <c r="S531" s="116"/>
      <c r="T531" s="70">
        <f>+D40</f>
        <v>1.5458333333333337E-4</v>
      </c>
      <c r="U531" s="69">
        <f t="shared" si="156"/>
        <v>1.6779351013417191E-8</v>
      </c>
      <c r="V531" s="69">
        <f t="shared" si="157"/>
        <v>1.3793039288194448E-4</v>
      </c>
      <c r="W531" s="69">
        <f t="shared" si="158"/>
        <v>0.8050809492880614</v>
      </c>
      <c r="X531" s="69">
        <f t="shared" si="159"/>
        <v>0.89726303238685889</v>
      </c>
      <c r="Y531" s="70">
        <f t="shared" si="160"/>
        <v>1.185371772188755E-4</v>
      </c>
      <c r="Z531" s="70">
        <f t="shared" si="161"/>
        <v>1.3326036416163326E-5</v>
      </c>
      <c r="AA531" s="70">
        <f t="shared" si="162"/>
        <v>7.594984937844541E-13</v>
      </c>
      <c r="AB531" s="70">
        <f t="shared" si="163"/>
        <v>9.5341079382718036E-10</v>
      </c>
      <c r="AC531" s="70">
        <f>(($T$528*W531)*SQRT($R$12*U531))*(1-E66)</f>
        <v>3.6386529968700163E-8</v>
      </c>
      <c r="AD531" s="70">
        <f>(($T$529*X531)*SQRT($R$13*V531))*(1-F66)</f>
        <v>1.1149911767996382E-6</v>
      </c>
      <c r="AE531" s="70">
        <f>(($T$530*Y531)*SQRT($R$14*W531))*(1-G66)</f>
        <v>1.276874484608553E-8</v>
      </c>
      <c r="AF531" s="70"/>
      <c r="AG531" s="70"/>
      <c r="AH531" s="70"/>
    </row>
    <row r="532" spans="19:34" x14ac:dyDescent="0.25">
      <c r="S532" s="116"/>
      <c r="T532" s="70">
        <f>+J40</f>
        <v>4.3920833333333326E-2</v>
      </c>
      <c r="U532" s="69">
        <f t="shared" si="156"/>
        <v>1.0545502195911121E-6</v>
      </c>
      <c r="V532" s="69">
        <f t="shared" si="157"/>
        <v>3.9189333460069441E-2</v>
      </c>
      <c r="W532" s="69">
        <f t="shared" si="158"/>
        <v>1.8651528335962096E-2</v>
      </c>
      <c r="X532" s="69">
        <f t="shared" si="159"/>
        <v>0.13657059835836591</v>
      </c>
      <c r="Y532" s="70">
        <f t="shared" si="160"/>
        <v>5.1856600765180991E-3</v>
      </c>
      <c r="Z532" s="70">
        <f t="shared" si="161"/>
        <v>5.8297570975496889E-4</v>
      </c>
      <c r="AA532" s="70">
        <f t="shared" si="162"/>
        <v>2.1082741665670139E-11</v>
      </c>
      <c r="AB532" s="70">
        <f t="shared" si="163"/>
        <v>4.1799606030750362E-6</v>
      </c>
      <c r="AC532" s="70">
        <f>(($T$528*W532)*SQRT($R$12*U532))*(1-E67)</f>
        <v>5.9925095996379963E-9</v>
      </c>
      <c r="AD532" s="70">
        <f>(($T$529*X532)*SQRT($R$13*V532))*(1-F67)</f>
        <v>2.6171305222428976E-6</v>
      </c>
      <c r="AE532" s="70">
        <f>(($T$530*Y532)*SQRT($R$14*W532))*(1-G67)</f>
        <v>7.7183645726637081E-8</v>
      </c>
      <c r="AF532" s="70">
        <f>(($T$531*Z532)*SQRT($R$15*X532))*(1-H67)</f>
        <v>5.9112393427775788E-8</v>
      </c>
      <c r="AG532" s="70"/>
      <c r="AH532" s="70"/>
    </row>
    <row r="533" spans="19:34" x14ac:dyDescent="0.25">
      <c r="S533" s="116"/>
      <c r="T533" s="70">
        <f>L40</f>
        <v>1.1000000000000001E-3</v>
      </c>
      <c r="U533" s="69">
        <f t="shared" si="156"/>
        <v>2.9319027429773531E-8</v>
      </c>
      <c r="V533" s="69">
        <f t="shared" si="157"/>
        <v>9.8149929166666677E-4</v>
      </c>
      <c r="W533" s="69">
        <f t="shared" si="158"/>
        <v>8.5334097849090448E-2</v>
      </c>
      <c r="X533" s="69">
        <f t="shared" si="159"/>
        <v>0.29212000590355064</v>
      </c>
      <c r="Y533" s="70">
        <f t="shared" si="160"/>
        <v>2.603664171772933E-4</v>
      </c>
      <c r="Z533" s="70">
        <f t="shared" si="161"/>
        <v>2.9270583611451862E-5</v>
      </c>
      <c r="AA533" s="70">
        <f t="shared" si="162"/>
        <v>5.6503035641359654E-13</v>
      </c>
      <c r="AB533" s="70">
        <f t="shared" si="163"/>
        <v>1.5862941740122552E-8</v>
      </c>
      <c r="AC533" s="70">
        <f>(($T$528*W533)*SQRT($R$12*U533))*(1-E68)</f>
        <v>4.486354264186514E-9</v>
      </c>
      <c r="AD533" s="70">
        <f>(($T$529*X533)*SQRT($R$13*V533))*(1-F68)</f>
        <v>8.3458677201181135E-7</v>
      </c>
      <c r="AE533" s="70">
        <f>(($T$530*Y533)*SQRT($R$14*W533))*(1-G68)</f>
        <v>7.1313401891596512E-9</v>
      </c>
      <c r="AF533" s="70">
        <f>(($T$531*Z533)*SQRT($R$15*X533))*(1-H68)</f>
        <v>4.2336463505904802E-9</v>
      </c>
      <c r="AG533" s="70">
        <f>(($T$532*AA533)*SQRT($R$16*Y533))*(1-I68)</f>
        <v>1.0698098216604029E-16</v>
      </c>
      <c r="AH533" s="70"/>
    </row>
    <row r="534" spans="19:34" x14ac:dyDescent="0.25">
      <c r="S534" s="116"/>
      <c r="T534" s="130" t="s">
        <v>77</v>
      </c>
      <c r="U534" s="133">
        <f>SUM(U524:U533)</f>
        <v>2.7642724160220989E-5</v>
      </c>
      <c r="V534" s="108"/>
      <c r="W534" s="108"/>
      <c r="X534" s="108"/>
      <c r="Y534" s="70">
        <f>SUM(Y525:Y533)</f>
        <v>2.6311327337069267E-2</v>
      </c>
      <c r="Z534" s="70">
        <f t="shared" ref="Z534:AG534" si="164">SUM(Z525:Z533)</f>
        <v>8.6976758105094891E-4</v>
      </c>
      <c r="AA534" s="70">
        <f t="shared" si="164"/>
        <v>2.4673182441707237E-11</v>
      </c>
      <c r="AB534" s="70">
        <f t="shared" si="164"/>
        <v>4.1994398126687122E-6</v>
      </c>
      <c r="AC534" s="70">
        <f t="shared" si="164"/>
        <v>7.7375658387920994E-8</v>
      </c>
      <c r="AD534" s="70">
        <f t="shared" si="164"/>
        <v>5.1970704405060693E-6</v>
      </c>
      <c r="AE534" s="70">
        <f t="shared" si="164"/>
        <v>9.7083730761882258E-8</v>
      </c>
      <c r="AF534" s="70">
        <f t="shared" si="164"/>
        <v>6.3346039778366262E-8</v>
      </c>
      <c r="AG534" s="70">
        <f t="shared" si="164"/>
        <v>1.0698098216604029E-16</v>
      </c>
      <c r="AH534" s="130">
        <f>SUM(Y534:AG534)</f>
        <v>2.7190729258475609E-2</v>
      </c>
    </row>
    <row r="535" spans="19:34" x14ac:dyDescent="0.25">
      <c r="S535" s="116"/>
    </row>
    <row r="536" spans="19:34" x14ac:dyDescent="0.25">
      <c r="S536" s="116"/>
      <c r="T536" s="112" t="s">
        <v>99</v>
      </c>
      <c r="U536" s="108"/>
      <c r="V536" s="108"/>
      <c r="W536" s="108"/>
      <c r="X536" s="108"/>
      <c r="Y536" s="108"/>
      <c r="Z536" s="108"/>
      <c r="AA536" s="108"/>
      <c r="AB536" s="108"/>
    </row>
    <row r="537" spans="19:34" x14ac:dyDescent="0.25">
      <c r="S537" s="116"/>
      <c r="T537" s="137" t="s">
        <v>100</v>
      </c>
      <c r="U537" s="138">
        <f>+AH534</f>
        <v>2.7190729258475609E-2</v>
      </c>
      <c r="V537" s="138" t="s">
        <v>101</v>
      </c>
      <c r="W537" s="139"/>
      <c r="X537" s="108"/>
      <c r="Y537" s="108"/>
      <c r="Z537" s="108"/>
      <c r="AA537" s="108"/>
      <c r="AB537" s="108"/>
    </row>
    <row r="538" spans="19:34" x14ac:dyDescent="0.25">
      <c r="S538" s="116"/>
      <c r="T538" s="137" t="s">
        <v>103</v>
      </c>
      <c r="U538" s="138">
        <f>+U534</f>
        <v>2.7642724160220989E-5</v>
      </c>
      <c r="V538" s="138" t="s">
        <v>101</v>
      </c>
      <c r="W538" s="108"/>
      <c r="X538" s="108"/>
      <c r="Y538" s="108"/>
      <c r="Z538" s="140" t="e">
        <f>(U542*U542)+(2*U538*U542)-(U538*U538)</f>
        <v>#DIV/0!</v>
      </c>
      <c r="AA538" s="108"/>
      <c r="AB538" s="108"/>
    </row>
    <row r="539" spans="19:34" x14ac:dyDescent="0.25">
      <c r="S539" s="116"/>
      <c r="T539" s="137" t="s">
        <v>104</v>
      </c>
      <c r="U539" s="138">
        <v>8.3145100000000003</v>
      </c>
      <c r="V539" s="138" t="s">
        <v>105</v>
      </c>
      <c r="W539" s="108"/>
      <c r="X539" s="108"/>
      <c r="Y539" s="108"/>
      <c r="Z539" s="140"/>
      <c r="AA539" s="108"/>
      <c r="AB539" s="108"/>
    </row>
    <row r="540" spans="19:34" x14ac:dyDescent="0.25">
      <c r="S540" s="116"/>
      <c r="T540" s="137" t="s">
        <v>106</v>
      </c>
      <c r="U540" s="141">
        <f>B40*98066.5</f>
        <v>0</v>
      </c>
      <c r="V540" s="142" t="s">
        <v>107</v>
      </c>
      <c r="W540" s="108"/>
      <c r="X540" s="108"/>
      <c r="Y540" s="108"/>
      <c r="Z540" s="140" t="e">
        <f>U537/Z538</f>
        <v>#DIV/0!</v>
      </c>
      <c r="AA540" s="108"/>
      <c r="AB540" s="108"/>
    </row>
    <row r="541" spans="19:34" x14ac:dyDescent="0.25">
      <c r="S541" s="116"/>
      <c r="T541" s="137" t="s">
        <v>108</v>
      </c>
      <c r="U541" s="141" t="s">
        <v>109</v>
      </c>
      <c r="V541" s="138" t="s">
        <v>110</v>
      </c>
      <c r="W541" s="108"/>
      <c r="X541" s="108"/>
      <c r="Y541" s="108"/>
      <c r="Z541" s="140"/>
      <c r="AA541" s="108"/>
      <c r="AB541" s="108"/>
    </row>
    <row r="542" spans="19:34" x14ac:dyDescent="0.25">
      <c r="S542" s="116"/>
      <c r="T542" s="137" t="s">
        <v>112</v>
      </c>
      <c r="U542" s="138" t="e">
        <f>+U550</f>
        <v>#DIV/0!</v>
      </c>
      <c r="V542" s="138" t="s">
        <v>113</v>
      </c>
      <c r="W542" s="108"/>
      <c r="X542" s="108"/>
      <c r="Y542" s="108"/>
      <c r="Z542" s="140" t="e">
        <f>U542-U538</f>
        <v>#DIV/0!</v>
      </c>
      <c r="AA542" s="108"/>
      <c r="AB542" s="108"/>
    </row>
    <row r="543" spans="19:34" x14ac:dyDescent="0.25">
      <c r="S543" s="116"/>
      <c r="T543" s="108"/>
      <c r="U543" s="108"/>
      <c r="V543" s="108"/>
      <c r="W543" s="108"/>
      <c r="X543" s="108"/>
      <c r="Y543" s="108"/>
      <c r="Z543" s="108"/>
      <c r="AA543" s="108"/>
      <c r="AB543" s="108"/>
    </row>
    <row r="544" spans="19:34" x14ac:dyDescent="0.25">
      <c r="S544" s="116"/>
      <c r="T544" s="108"/>
      <c r="U544" s="108"/>
      <c r="V544" s="108"/>
      <c r="W544" s="108"/>
      <c r="X544" s="108"/>
      <c r="Y544" s="108"/>
      <c r="Z544" s="108"/>
      <c r="AA544" s="108"/>
      <c r="AB544" s="108"/>
    </row>
    <row r="545" spans="19:34" x14ac:dyDescent="0.25">
      <c r="S545" s="116"/>
      <c r="T545" s="108"/>
      <c r="U545" s="108"/>
      <c r="V545" s="108"/>
      <c r="W545" s="108"/>
      <c r="X545" s="108"/>
      <c r="Y545" s="108"/>
      <c r="Z545" s="108"/>
      <c r="AA545" s="108"/>
      <c r="AB545" s="108"/>
    </row>
    <row r="546" spans="19:34" x14ac:dyDescent="0.25">
      <c r="S546" s="116"/>
      <c r="T546" s="108" t="s">
        <v>116</v>
      </c>
      <c r="U546" s="108">
        <v>0.98</v>
      </c>
      <c r="V546" s="108"/>
      <c r="W546" s="108"/>
      <c r="X546" s="108"/>
      <c r="Y546" s="108"/>
      <c r="Z546" s="108"/>
      <c r="AA546" s="108"/>
      <c r="AB546" s="108"/>
    </row>
    <row r="547" spans="19:34" x14ac:dyDescent="0.25">
      <c r="S547" s="116"/>
      <c r="T547" s="108" t="s">
        <v>106</v>
      </c>
      <c r="U547" s="143">
        <f>U540</f>
        <v>0</v>
      </c>
      <c r="V547" s="108" t="s">
        <v>117</v>
      </c>
      <c r="W547" s="108"/>
      <c r="X547" s="108"/>
      <c r="Y547" s="108"/>
      <c r="Z547" s="108"/>
      <c r="AA547" s="108"/>
      <c r="AB547" s="108"/>
    </row>
    <row r="548" spans="19:34" x14ac:dyDescent="0.25">
      <c r="S548" s="116"/>
      <c r="T548" s="108" t="s">
        <v>118</v>
      </c>
      <c r="U548" s="143">
        <f>C40+273.15</f>
        <v>273.14999999999998</v>
      </c>
      <c r="V548" s="108" t="s">
        <v>49</v>
      </c>
      <c r="W548" s="108"/>
      <c r="X548" s="108"/>
      <c r="Y548" s="108"/>
      <c r="Z548" s="108"/>
      <c r="AA548" s="108"/>
      <c r="AB548" s="108"/>
    </row>
    <row r="549" spans="19:34" x14ac:dyDescent="0.25">
      <c r="S549" s="116"/>
      <c r="T549" s="108"/>
      <c r="U549" s="108"/>
      <c r="V549" s="108"/>
      <c r="W549" s="108"/>
      <c r="X549" s="108"/>
      <c r="Y549" s="108"/>
      <c r="Z549" s="108"/>
      <c r="AA549" s="108"/>
      <c r="AB549" s="108"/>
    </row>
    <row r="550" spans="19:34" x14ac:dyDescent="0.25">
      <c r="S550" s="116"/>
      <c r="T550" s="108" t="s">
        <v>121</v>
      </c>
      <c r="U550" s="108" t="e">
        <f>(0.98*U539*U548)/U547</f>
        <v>#DIV/0!</v>
      </c>
      <c r="V550" s="108" t="s">
        <v>113</v>
      </c>
      <c r="W550" s="108"/>
      <c r="X550" s="108"/>
      <c r="Y550" s="108"/>
      <c r="Z550" s="108"/>
      <c r="AA550" s="108"/>
      <c r="AB550" s="108"/>
    </row>
    <row r="551" spans="19:34" x14ac:dyDescent="0.25">
      <c r="S551" s="116"/>
      <c r="T551" s="147"/>
      <c r="U551" s="116"/>
      <c r="V551" s="116"/>
      <c r="W551" s="116"/>
      <c r="X551" s="116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</row>
    <row r="552" spans="19:34" ht="15.75" thickBot="1" x14ac:dyDescent="0.3">
      <c r="S552" s="116"/>
      <c r="T552" s="147"/>
      <c r="U552" s="116"/>
      <c r="V552" s="116"/>
      <c r="W552" s="116"/>
      <c r="X552" s="116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</row>
    <row r="553" spans="19:34" ht="15.75" thickBot="1" x14ac:dyDescent="0.3">
      <c r="S553" s="116"/>
      <c r="V553" s="162" t="s">
        <v>60</v>
      </c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4"/>
    </row>
    <row r="554" spans="19:34" x14ac:dyDescent="0.25">
      <c r="S554" s="116"/>
      <c r="Y554" s="175" t="s">
        <v>63</v>
      </c>
      <c r="Z554" s="175"/>
      <c r="AA554" s="175"/>
      <c r="AB554" s="175"/>
      <c r="AC554" s="175"/>
      <c r="AD554" s="175"/>
      <c r="AE554" s="175"/>
      <c r="AF554" s="175"/>
      <c r="AG554" s="175"/>
      <c r="AH554" s="175"/>
    </row>
    <row r="555" spans="19:34" ht="17.25" x14ac:dyDescent="0.25">
      <c r="S555" s="116">
        <v>18</v>
      </c>
      <c r="T555" s="70" t="s">
        <v>76</v>
      </c>
      <c r="U555" s="130" t="s">
        <v>77</v>
      </c>
      <c r="V555" s="70" t="s">
        <v>78</v>
      </c>
      <c r="W555" s="70" t="s">
        <v>79</v>
      </c>
      <c r="X555" s="70" t="s">
        <v>80</v>
      </c>
      <c r="Y555" s="131" t="s">
        <v>30</v>
      </c>
      <c r="Z555" s="131" t="s">
        <v>32</v>
      </c>
      <c r="AA555" s="131" t="s">
        <v>81</v>
      </c>
      <c r="AB555" s="131" t="s">
        <v>25</v>
      </c>
      <c r="AC555" s="131" t="s">
        <v>26</v>
      </c>
      <c r="AD555" s="131" t="s">
        <v>27</v>
      </c>
      <c r="AE555" s="131" t="s">
        <v>28</v>
      </c>
      <c r="AF555" s="131" t="s">
        <v>82</v>
      </c>
      <c r="AG555" s="131" t="s">
        <v>29</v>
      </c>
      <c r="AH555" s="132" t="s">
        <v>31</v>
      </c>
    </row>
    <row r="556" spans="19:34" x14ac:dyDescent="0.25">
      <c r="S556" s="116"/>
      <c r="T556" s="70">
        <f>K41</f>
        <v>0.88836375000000023</v>
      </c>
      <c r="U556" s="69">
        <f>+S8*T556</f>
        <v>2.3810878570196362E-5</v>
      </c>
      <c r="V556" s="69">
        <f>$T$556*T556</f>
        <v>0.78919015231406286</v>
      </c>
      <c r="W556" s="69">
        <f>$R$8*R8</f>
        <v>4.2845172623208805E-2</v>
      </c>
      <c r="X556" s="69">
        <f>SQRT(W556)</f>
        <v>0.20699075492207086</v>
      </c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</row>
    <row r="557" spans="19:34" x14ac:dyDescent="0.25">
      <c r="S557" s="116"/>
      <c r="T557" s="70">
        <f>M41</f>
        <v>5.360874999999999E-2</v>
      </c>
      <c r="U557" s="69">
        <f t="shared" ref="U557:U565" si="165">+S9*T557</f>
        <v>2.1732010786310498E-6</v>
      </c>
      <c r="V557" s="69">
        <f t="shared" ref="V557:V565" si="166">$T$556*T557</f>
        <v>4.7624070182812506E-2</v>
      </c>
      <c r="W557" s="69">
        <f t="shared" ref="W557:W565" si="167">$R$8*R9</f>
        <v>0.12918986849197683</v>
      </c>
      <c r="X557" s="69">
        <f t="shared" ref="X557:X565" si="168">SQRT(W557)</f>
        <v>0.35942992153127268</v>
      </c>
      <c r="Y557" s="70">
        <f t="shared" ref="Y557:Y565" si="169">(($T$556*T557)*SQRT($R$8*R9))*(1-B60)</f>
        <v>1.716202134991102E-2</v>
      </c>
      <c r="Z557" s="70"/>
      <c r="AA557" s="70"/>
      <c r="AB557" s="70"/>
      <c r="AC557" s="70"/>
      <c r="AD557" s="70"/>
      <c r="AE557" s="70"/>
      <c r="AF557" s="70"/>
      <c r="AG557" s="70"/>
      <c r="AH557" s="70"/>
    </row>
    <row r="558" spans="19:34" x14ac:dyDescent="0.25">
      <c r="S558" s="116"/>
      <c r="T558" s="70">
        <f>+E41</f>
        <v>4.6550000000000012E-3</v>
      </c>
      <c r="U558" s="69">
        <f t="shared" si="165"/>
        <v>2.6215223925063437E-7</v>
      </c>
      <c r="V558" s="69">
        <f t="shared" si="166"/>
        <v>4.1353332562500018E-3</v>
      </c>
      <c r="W558" s="69">
        <f t="shared" si="167"/>
        <v>0.24193902239770376</v>
      </c>
      <c r="X558" s="69">
        <f t="shared" si="168"/>
        <v>0.49187297384355622</v>
      </c>
      <c r="Y558" s="70">
        <f t="shared" si="169"/>
        <v>2.0055818452536433E-3</v>
      </c>
      <c r="Z558" s="70">
        <f t="shared" ref="Z558:Z565" si="170">(($T$557*T558)*SQRT($R$9*R10))*(1-B61)</f>
        <v>2.1015925558823332E-4</v>
      </c>
      <c r="AA558" s="70"/>
      <c r="AB558" s="70"/>
      <c r="AC558" s="70"/>
      <c r="AD558" s="70"/>
      <c r="AE558" s="70"/>
      <c r="AF558" s="70"/>
      <c r="AG558" s="70"/>
      <c r="AH558" s="70"/>
    </row>
    <row r="559" spans="19:34" x14ac:dyDescent="0.25">
      <c r="S559" s="116"/>
      <c r="T559" s="70">
        <f>+G41</f>
        <v>6.7541666666666661E-4</v>
      </c>
      <c r="U559" s="69">
        <f t="shared" si="165"/>
        <v>4.8929791305573685E-8</v>
      </c>
      <c r="V559" s="69">
        <f t="shared" si="166"/>
        <v>6.0001568281250008E-4</v>
      </c>
      <c r="W559" s="69">
        <f t="shared" si="167"/>
        <v>0.39059496580954223</v>
      </c>
      <c r="X559" s="69">
        <f t="shared" si="168"/>
        <v>0.62497597218576506</v>
      </c>
      <c r="Y559" s="70">
        <f t="shared" si="169"/>
        <v>3.6539550284432127E-4</v>
      </c>
      <c r="Z559" s="70">
        <f t="shared" si="170"/>
        <v>3.8288762463014339E-5</v>
      </c>
      <c r="AA559" s="70">
        <f t="shared" ref="AA559:AA565" si="171">(($T$558*U559)*SQRT($R$10*S11))*(1-C62)</f>
        <v>2.1099462840911578E-12</v>
      </c>
      <c r="AB559" s="70"/>
      <c r="AC559" s="70"/>
      <c r="AD559" s="70"/>
      <c r="AE559" s="70"/>
      <c r="AF559" s="70"/>
      <c r="AG559" s="70"/>
      <c r="AH559" s="70"/>
    </row>
    <row r="560" spans="19:34" x14ac:dyDescent="0.25">
      <c r="S560" s="116"/>
      <c r="T560" s="70">
        <f>+F41</f>
        <v>3.8291666666666677E-4</v>
      </c>
      <c r="U560" s="69">
        <f t="shared" si="165"/>
        <v>2.7750215778855268E-8</v>
      </c>
      <c r="V560" s="69">
        <f t="shared" si="166"/>
        <v>3.4016928593750016E-4</v>
      </c>
      <c r="W560" s="69">
        <f t="shared" si="167"/>
        <v>0.36453710099529019</v>
      </c>
      <c r="X560" s="69">
        <f t="shared" si="168"/>
        <v>0.60376907919774281</v>
      </c>
      <c r="Y560" s="70">
        <f t="shared" si="169"/>
        <v>2.0265209337783172E-4</v>
      </c>
      <c r="Z560" s="70">
        <f t="shared" si="170"/>
        <v>2.1235340351964571E-5</v>
      </c>
      <c r="AA560" s="70">
        <f t="shared" si="171"/>
        <v>1.177484544396071E-12</v>
      </c>
      <c r="AB560" s="70">
        <f t="shared" ref="AB560:AB565" si="172">(($T$559*V560)*SQRT($R$11*T560))*(1-D63)</f>
        <v>6.155613042457082E-9</v>
      </c>
      <c r="AC560" s="70"/>
      <c r="AD560" s="70"/>
      <c r="AE560" s="70"/>
      <c r="AF560" s="70"/>
      <c r="AG560" s="70"/>
      <c r="AH560" s="70"/>
    </row>
    <row r="561" spans="19:34" x14ac:dyDescent="0.25">
      <c r="S561" s="116"/>
      <c r="T561" s="70">
        <f>+I41</f>
        <v>1.4000000000000004E-4</v>
      </c>
      <c r="U561" s="69">
        <f t="shared" si="165"/>
        <v>1.2622196937544216E-8</v>
      </c>
      <c r="V561" s="69">
        <f t="shared" si="166"/>
        <v>1.2437092500000008E-4</v>
      </c>
      <c r="W561" s="69">
        <f t="shared" si="167"/>
        <v>0.57891172563229198</v>
      </c>
      <c r="X561" s="69">
        <f t="shared" si="168"/>
        <v>0.76086248799128742</v>
      </c>
      <c r="Y561" s="70">
        <f t="shared" si="169"/>
        <v>9.5159094789281826E-5</v>
      </c>
      <c r="Z561" s="70">
        <f t="shared" si="170"/>
        <v>9.9714527086958174E-6</v>
      </c>
      <c r="AA561" s="70">
        <f t="shared" si="171"/>
        <v>6.0316423507466106E-13</v>
      </c>
      <c r="AB561" s="70">
        <f t="shared" si="172"/>
        <v>1.350189974112152E-9</v>
      </c>
      <c r="AC561" s="70">
        <f>(($T$560*W561)*SQRT($R$12*U561))*(1-E64)</f>
        <v>3.3050610443026558E-8</v>
      </c>
      <c r="AD561" s="70"/>
      <c r="AE561" s="70"/>
      <c r="AF561" s="70"/>
      <c r="AG561" s="70"/>
      <c r="AH561" s="70"/>
    </row>
    <row r="562" spans="19:34" x14ac:dyDescent="0.25">
      <c r="S562" s="116"/>
      <c r="T562" s="70">
        <f>+H41</f>
        <v>1.4083333333333339E-4</v>
      </c>
      <c r="U562" s="69">
        <f t="shared" si="165"/>
        <v>1.2409101309633335E-8</v>
      </c>
      <c r="V562" s="69">
        <f t="shared" si="166"/>
        <v>1.2511122812500008E-4</v>
      </c>
      <c r="W562" s="69">
        <f t="shared" si="167"/>
        <v>0.54235185847350886</v>
      </c>
      <c r="X562" s="69">
        <f t="shared" si="168"/>
        <v>0.73644542124553181</v>
      </c>
      <c r="Y562" s="70">
        <f t="shared" si="169"/>
        <v>9.0018426503783087E-5</v>
      </c>
      <c r="Z562" s="70">
        <f t="shared" si="170"/>
        <v>9.4327766019773607E-6</v>
      </c>
      <c r="AA562" s="70">
        <f t="shared" si="171"/>
        <v>5.816398590898466E-13</v>
      </c>
      <c r="AB562" s="70">
        <f t="shared" si="172"/>
        <v>1.3407733207656969E-9</v>
      </c>
      <c r="AC562" s="70">
        <f>(($T$560*W562)*SQRT($R$12*U562))*(1-E65)</f>
        <v>3.0700889674567675E-8</v>
      </c>
      <c r="AD562" s="70">
        <f>(($T$561*X562)*SQRT($R$13*V562))*(1-F65)</f>
        <v>1.9286234565070208E-6</v>
      </c>
      <c r="AE562" s="70"/>
      <c r="AF562" s="70"/>
      <c r="AG562" s="70"/>
      <c r="AH562" s="70"/>
    </row>
    <row r="563" spans="19:34" x14ac:dyDescent="0.25">
      <c r="S563" s="116"/>
      <c r="T563" s="70">
        <f>+D41</f>
        <v>2.3250000000000007E-4</v>
      </c>
      <c r="U563" s="69">
        <f t="shared" si="165"/>
        <v>2.5236867561959013E-8</v>
      </c>
      <c r="V563" s="69">
        <f t="shared" si="166"/>
        <v>2.0654457187500012E-4</v>
      </c>
      <c r="W563" s="69">
        <f t="shared" si="167"/>
        <v>0.8050809492880614</v>
      </c>
      <c r="X563" s="69">
        <f t="shared" si="168"/>
        <v>0.89726303238685889</v>
      </c>
      <c r="Y563" s="70">
        <f t="shared" si="169"/>
        <v>1.7750410194871985E-4</v>
      </c>
      <c r="Z563" s="70">
        <f t="shared" si="170"/>
        <v>1.8600153375781596E-5</v>
      </c>
      <c r="AA563" s="70">
        <f t="shared" si="171"/>
        <v>1.3364731555662927E-12</v>
      </c>
      <c r="AB563" s="70">
        <f t="shared" si="172"/>
        <v>2.9199860163091565E-9</v>
      </c>
      <c r="AC563" s="70">
        <f>(($T$560*W563)*SQRT($R$12*U563))*(1-E66)</f>
        <v>6.499155640860358E-8</v>
      </c>
      <c r="AD563" s="70">
        <f>(($T$561*X563)*SQRT($R$13*V563))*(1-F66)</f>
        <v>3.0360622168772205E-6</v>
      </c>
      <c r="AE563" s="70">
        <f>(($T$562*Y563)*SQRT($R$14*W563))*(1-G66)</f>
        <v>3.6307698409484241E-8</v>
      </c>
      <c r="AF563" s="70"/>
      <c r="AG563" s="70"/>
      <c r="AH563" s="70"/>
    </row>
    <row r="564" spans="19:34" x14ac:dyDescent="0.25">
      <c r="S564" s="116"/>
      <c r="T564" s="70">
        <f>+J41</f>
        <v>5.0810416666666663E-2</v>
      </c>
      <c r="U564" s="69">
        <f t="shared" si="165"/>
        <v>1.2199708426908088E-6</v>
      </c>
      <c r="V564" s="69">
        <f t="shared" si="166"/>
        <v>4.5138132289062508E-2</v>
      </c>
      <c r="W564" s="69">
        <f t="shared" si="167"/>
        <v>1.8651528335962096E-2</v>
      </c>
      <c r="X564" s="69">
        <f t="shared" si="168"/>
        <v>0.13657059835836591</v>
      </c>
      <c r="Y564" s="70">
        <f t="shared" si="169"/>
        <v>5.9728244875224068E-3</v>
      </c>
      <c r="Z564" s="70">
        <f t="shared" si="170"/>
        <v>6.2587540420128347E-4</v>
      </c>
      <c r="AA564" s="70">
        <f t="shared" si="171"/>
        <v>2.8535290987940784E-11</v>
      </c>
      <c r="AB564" s="70">
        <f t="shared" si="172"/>
        <v>8.635862895935101E-6</v>
      </c>
      <c r="AC564" s="70">
        <f>(($T$560*W564)*SQRT($R$12*U564))*(1-E67)</f>
        <v>9.387198098757742E-9</v>
      </c>
      <c r="AD564" s="70">
        <f>(($T$561*X564)*SQRT($R$13*V564))*(1-F67)</f>
        <v>6.2499359482596991E-6</v>
      </c>
      <c r="AE564" s="70">
        <f>(($T$562*Y564)*SQRT($R$14*W564))*(1-G67)</f>
        <v>1.6880981518014046E-7</v>
      </c>
      <c r="AF564" s="70">
        <f>(($T$563*Z564)*SQRT($R$15*X564))*(1-H67)</f>
        <v>9.5450071579199744E-8</v>
      </c>
      <c r="AG564" s="70"/>
      <c r="AH564" s="70"/>
    </row>
    <row r="565" spans="19:34" x14ac:dyDescent="0.25">
      <c r="S565" s="116"/>
      <c r="T565" s="70">
        <f>L41</f>
        <v>9.9625000000000017E-4</v>
      </c>
      <c r="U565" s="69">
        <f t="shared" si="165"/>
        <v>2.6553710069919894E-8</v>
      </c>
      <c r="V565" s="69">
        <f t="shared" si="166"/>
        <v>8.8503238593750039E-4</v>
      </c>
      <c r="W565" s="69">
        <f t="shared" si="167"/>
        <v>8.5334097849090448E-2</v>
      </c>
      <c r="X565" s="69">
        <f t="shared" si="168"/>
        <v>0.29212000590355064</v>
      </c>
      <c r="Y565" s="70">
        <f t="shared" si="169"/>
        <v>2.3477623811742618E-4</v>
      </c>
      <c r="Z565" s="70">
        <f t="shared" si="170"/>
        <v>2.4601538725199251E-5</v>
      </c>
      <c r="AA565" s="70">
        <f t="shared" si="171"/>
        <v>5.9871544807840481E-13</v>
      </c>
      <c r="AB565" s="70">
        <f t="shared" si="172"/>
        <v>2.2701652750983503E-8</v>
      </c>
      <c r="AC565" s="70">
        <f>(($T$560*W565)*SQRT($R$12*U565))*(1-E68)</f>
        <v>6.2182408767995464E-9</v>
      </c>
      <c r="AD565" s="70">
        <f>(($T$561*X565)*SQRT($R$13*V565))*(1-F68)</f>
        <v>1.7634713703434704E-6</v>
      </c>
      <c r="AE565" s="70">
        <f>(($T$562*Y565)*SQRT($R$14*W565))*(1-G68)</f>
        <v>1.2210600566508939E-8</v>
      </c>
      <c r="AF565" s="70">
        <f>(($T$563*Z565)*SQRT($R$15*X565))*(1-H68)</f>
        <v>5.3518724712931994E-9</v>
      </c>
      <c r="AG565" s="70">
        <f>(($T$564*AA565)*SQRT($R$16*Y565))*(1-I68)</f>
        <v>1.2452943986981207E-16</v>
      </c>
      <c r="AH565" s="70"/>
    </row>
    <row r="566" spans="19:34" x14ac:dyDescent="0.25">
      <c r="S566" s="116"/>
      <c r="T566" s="130" t="s">
        <v>77</v>
      </c>
      <c r="U566" s="133">
        <f>SUM(U556:U565)</f>
        <v>2.7619704613732338E-5</v>
      </c>
      <c r="V566" s="108"/>
      <c r="W566" s="108"/>
      <c r="X566" s="108"/>
      <c r="Y566" s="70">
        <f>SUM(Y557:Y565)</f>
        <v>2.6305933140268436E-2</v>
      </c>
      <c r="Z566" s="70">
        <f t="shared" ref="Z566:AG566" si="173">SUM(Z557:Z565)</f>
        <v>9.5816468401614978E-4</v>
      </c>
      <c r="AA566" s="70">
        <f t="shared" si="173"/>
        <v>3.4942714514237217E-11</v>
      </c>
      <c r="AB566" s="70">
        <f t="shared" si="173"/>
        <v>8.6703311110397298E-6</v>
      </c>
      <c r="AC566" s="70">
        <f t="shared" si="173"/>
        <v>1.4434849550175512E-7</v>
      </c>
      <c r="AD566" s="70">
        <f t="shared" si="173"/>
        <v>1.2978092991987412E-5</v>
      </c>
      <c r="AE566" s="70">
        <f t="shared" si="173"/>
        <v>2.1732811415613363E-7</v>
      </c>
      <c r="AF566" s="70">
        <f t="shared" si="173"/>
        <v>1.0080194405049294E-7</v>
      </c>
      <c r="AG566" s="70">
        <f t="shared" si="173"/>
        <v>1.2452943986981207E-16</v>
      </c>
      <c r="AH566" s="130">
        <f>SUM(Y566:AG566)</f>
        <v>2.7286208761884159E-2</v>
      </c>
    </row>
    <row r="567" spans="19:34" x14ac:dyDescent="0.25">
      <c r="S567" s="116"/>
    </row>
    <row r="568" spans="19:34" x14ac:dyDescent="0.25">
      <c r="S568" s="116"/>
      <c r="T568" s="112" t="s">
        <v>99</v>
      </c>
      <c r="U568" s="108"/>
      <c r="V568" s="108"/>
      <c r="W568" s="108"/>
      <c r="X568" s="108"/>
      <c r="Y568" s="108"/>
      <c r="Z568" s="108"/>
      <c r="AA568" s="108"/>
      <c r="AB568" s="108"/>
    </row>
    <row r="569" spans="19:34" x14ac:dyDescent="0.25">
      <c r="S569" s="116"/>
      <c r="T569" s="137" t="s">
        <v>100</v>
      </c>
      <c r="U569" s="138">
        <f>+AH566</f>
        <v>2.7286208761884159E-2</v>
      </c>
      <c r="V569" s="138" t="s">
        <v>101</v>
      </c>
      <c r="W569" s="139"/>
      <c r="X569" s="108"/>
      <c r="Y569" s="108"/>
      <c r="Z569" s="108"/>
      <c r="AA569" s="108"/>
      <c r="AB569" s="108"/>
    </row>
    <row r="570" spans="19:34" x14ac:dyDescent="0.25">
      <c r="S570" s="116"/>
      <c r="T570" s="137" t="s">
        <v>103</v>
      </c>
      <c r="U570" s="138">
        <f>+U566</f>
        <v>2.7619704613732338E-5</v>
      </c>
      <c r="V570" s="138" t="s">
        <v>101</v>
      </c>
      <c r="W570" s="108"/>
      <c r="X570" s="108"/>
      <c r="Y570" s="108"/>
      <c r="Z570" s="140" t="e">
        <f>(U574*U574)+(2*U570*U574)-(U570*U570)</f>
        <v>#DIV/0!</v>
      </c>
      <c r="AA570" s="108"/>
      <c r="AB570" s="108"/>
    </row>
    <row r="571" spans="19:34" x14ac:dyDescent="0.25">
      <c r="S571" s="116"/>
      <c r="T571" s="137" t="s">
        <v>104</v>
      </c>
      <c r="U571" s="138">
        <v>8.3145100000000003</v>
      </c>
      <c r="V571" s="138" t="s">
        <v>105</v>
      </c>
      <c r="W571" s="108"/>
      <c r="X571" s="108"/>
      <c r="Y571" s="108"/>
      <c r="Z571" s="140"/>
      <c r="AA571" s="108"/>
      <c r="AB571" s="108"/>
    </row>
    <row r="572" spans="19:34" x14ac:dyDescent="0.25">
      <c r="S572" s="116"/>
      <c r="T572" s="137" t="s">
        <v>106</v>
      </c>
      <c r="U572" s="141">
        <f>B41*98066.5</f>
        <v>0</v>
      </c>
      <c r="V572" s="142" t="s">
        <v>107</v>
      </c>
      <c r="W572" s="108"/>
      <c r="X572" s="108"/>
      <c r="Y572" s="108"/>
      <c r="Z572" s="140" t="e">
        <f>U569/Z570</f>
        <v>#DIV/0!</v>
      </c>
      <c r="AA572" s="108"/>
      <c r="AB572" s="108"/>
    </row>
    <row r="573" spans="19:34" x14ac:dyDescent="0.25">
      <c r="S573" s="116"/>
      <c r="T573" s="137" t="s">
        <v>108</v>
      </c>
      <c r="U573" s="141" t="s">
        <v>109</v>
      </c>
      <c r="V573" s="138" t="s">
        <v>110</v>
      </c>
      <c r="W573" s="108"/>
      <c r="X573" s="108"/>
      <c r="Y573" s="108"/>
      <c r="Z573" s="140"/>
      <c r="AA573" s="108"/>
      <c r="AB573" s="108"/>
    </row>
    <row r="574" spans="19:34" x14ac:dyDescent="0.25">
      <c r="S574" s="116"/>
      <c r="T574" s="137" t="s">
        <v>112</v>
      </c>
      <c r="U574" s="138" t="e">
        <f>+U582</f>
        <v>#DIV/0!</v>
      </c>
      <c r="V574" s="138" t="s">
        <v>113</v>
      </c>
      <c r="W574" s="108"/>
      <c r="X574" s="108"/>
      <c r="Y574" s="108"/>
      <c r="Z574" s="140" t="e">
        <f>U574-U570</f>
        <v>#DIV/0!</v>
      </c>
      <c r="AA574" s="108"/>
      <c r="AB574" s="108"/>
    </row>
    <row r="575" spans="19:34" x14ac:dyDescent="0.25">
      <c r="S575" s="116"/>
      <c r="T575" s="108"/>
      <c r="U575" s="108"/>
      <c r="V575" s="108"/>
      <c r="W575" s="108"/>
      <c r="X575" s="108"/>
      <c r="Y575" s="108"/>
      <c r="Z575" s="108"/>
      <c r="AA575" s="108"/>
      <c r="AB575" s="108"/>
    </row>
    <row r="576" spans="19:34" x14ac:dyDescent="0.25">
      <c r="S576" s="116"/>
      <c r="T576" s="108"/>
      <c r="U576" s="108"/>
      <c r="V576" s="108"/>
      <c r="W576" s="108"/>
      <c r="X576" s="108"/>
      <c r="Y576" s="108"/>
      <c r="Z576" s="108"/>
      <c r="AA576" s="108"/>
      <c r="AB576" s="108"/>
    </row>
    <row r="577" spans="19:34" x14ac:dyDescent="0.25">
      <c r="S577" s="116"/>
      <c r="T577" s="108"/>
      <c r="U577" s="108"/>
      <c r="V577" s="108"/>
      <c r="W577" s="108"/>
      <c r="X577" s="108"/>
      <c r="Y577" s="108"/>
      <c r="Z577" s="108"/>
      <c r="AA577" s="108"/>
      <c r="AB577" s="108"/>
    </row>
    <row r="578" spans="19:34" x14ac:dyDescent="0.25">
      <c r="S578" s="116"/>
      <c r="T578" s="108" t="s">
        <v>116</v>
      </c>
      <c r="U578" s="108">
        <v>0.98</v>
      </c>
      <c r="V578" s="108"/>
      <c r="W578" s="108"/>
      <c r="X578" s="108"/>
      <c r="Y578" s="108"/>
      <c r="Z578" s="108"/>
      <c r="AA578" s="108"/>
      <c r="AB578" s="108"/>
    </row>
    <row r="579" spans="19:34" x14ac:dyDescent="0.25">
      <c r="S579" s="116"/>
      <c r="T579" s="108" t="s">
        <v>106</v>
      </c>
      <c r="U579" s="143">
        <f>U572</f>
        <v>0</v>
      </c>
      <c r="V579" s="108" t="s">
        <v>117</v>
      </c>
      <c r="W579" s="108"/>
      <c r="X579" s="108"/>
      <c r="Y579" s="108"/>
      <c r="Z579" s="108"/>
      <c r="AA579" s="108"/>
      <c r="AB579" s="108"/>
    </row>
    <row r="580" spans="19:34" x14ac:dyDescent="0.25">
      <c r="S580" s="116"/>
      <c r="T580" s="108" t="s">
        <v>118</v>
      </c>
      <c r="U580" s="143">
        <f>C41+273.15</f>
        <v>273.14999999999998</v>
      </c>
      <c r="V580" s="108" t="s">
        <v>49</v>
      </c>
      <c r="W580" s="108"/>
      <c r="X580" s="108"/>
      <c r="Y580" s="108"/>
      <c r="Z580" s="108"/>
      <c r="AA580" s="108"/>
      <c r="AB580" s="108"/>
    </row>
    <row r="581" spans="19:34" x14ac:dyDescent="0.25">
      <c r="S581" s="116"/>
      <c r="T581" s="108"/>
      <c r="U581" s="108"/>
      <c r="V581" s="108"/>
      <c r="W581" s="108"/>
      <c r="X581" s="108"/>
      <c r="Y581" s="108"/>
      <c r="Z581" s="108"/>
      <c r="AA581" s="108"/>
      <c r="AB581" s="108"/>
    </row>
    <row r="582" spans="19:34" x14ac:dyDescent="0.25">
      <c r="S582" s="116"/>
      <c r="T582" s="108" t="s">
        <v>121</v>
      </c>
      <c r="U582" s="108" t="e">
        <f>(0.98*U571*U580)/U579</f>
        <v>#DIV/0!</v>
      </c>
      <c r="V582" s="108" t="s">
        <v>113</v>
      </c>
      <c r="W582" s="108"/>
      <c r="X582" s="108"/>
      <c r="Y582" s="108"/>
      <c r="Z582" s="108"/>
      <c r="AA582" s="108"/>
      <c r="AB582" s="108"/>
    </row>
    <row r="583" spans="19:34" x14ac:dyDescent="0.25">
      <c r="S583" s="116"/>
      <c r="T583" s="147"/>
      <c r="U583" s="116"/>
      <c r="V583" s="116"/>
      <c r="W583" s="116"/>
      <c r="X583" s="116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</row>
    <row r="584" spans="19:34" ht="15.75" thickBot="1" x14ac:dyDescent="0.3">
      <c r="S584" s="116"/>
      <c r="T584" s="147"/>
      <c r="U584" s="116"/>
      <c r="V584" s="116"/>
      <c r="W584" s="116"/>
      <c r="X584" s="116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</row>
    <row r="585" spans="19:34" ht="15.75" thickBot="1" x14ac:dyDescent="0.3">
      <c r="S585" s="116"/>
      <c r="V585" s="162" t="s">
        <v>60</v>
      </c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4"/>
    </row>
    <row r="586" spans="19:34" x14ac:dyDescent="0.25">
      <c r="S586" s="116"/>
      <c r="Y586" s="175" t="s">
        <v>63</v>
      </c>
      <c r="Z586" s="175"/>
      <c r="AA586" s="175"/>
      <c r="AB586" s="175"/>
      <c r="AC586" s="175"/>
      <c r="AD586" s="175"/>
      <c r="AE586" s="175"/>
      <c r="AF586" s="175"/>
      <c r="AG586" s="175"/>
      <c r="AH586" s="175"/>
    </row>
    <row r="587" spans="19:34" ht="17.25" x14ac:dyDescent="0.25">
      <c r="S587" s="116">
        <v>19</v>
      </c>
      <c r="T587" s="70" t="s">
        <v>76</v>
      </c>
      <c r="U587" s="130" t="s">
        <v>77</v>
      </c>
      <c r="V587" s="70" t="s">
        <v>78</v>
      </c>
      <c r="W587" s="70" t="s">
        <v>79</v>
      </c>
      <c r="X587" s="70" t="s">
        <v>80</v>
      </c>
      <c r="Y587" s="131" t="s">
        <v>30</v>
      </c>
      <c r="Z587" s="131" t="s">
        <v>32</v>
      </c>
      <c r="AA587" s="131" t="s">
        <v>81</v>
      </c>
      <c r="AB587" s="131" t="s">
        <v>25</v>
      </c>
      <c r="AC587" s="131" t="s">
        <v>26</v>
      </c>
      <c r="AD587" s="131" t="s">
        <v>27</v>
      </c>
      <c r="AE587" s="131" t="s">
        <v>28</v>
      </c>
      <c r="AF587" s="131" t="s">
        <v>82</v>
      </c>
      <c r="AG587" s="131" t="s">
        <v>29</v>
      </c>
      <c r="AH587" s="132" t="s">
        <v>31</v>
      </c>
    </row>
    <row r="588" spans="19:34" x14ac:dyDescent="0.25">
      <c r="S588" s="116"/>
      <c r="T588" s="70">
        <f>K42</f>
        <v>0.87826416666666673</v>
      </c>
      <c r="U588" s="69">
        <f>+S8*T588</f>
        <v>2.354017869938378E-5</v>
      </c>
      <c r="V588" s="69">
        <f>$T$588*T588</f>
        <v>0.7713479464506946</v>
      </c>
      <c r="W588" s="69">
        <f>$R$8*R8</f>
        <v>4.2845172623208805E-2</v>
      </c>
      <c r="X588" s="69">
        <f>SQRT(W588)</f>
        <v>0.20699075492207086</v>
      </c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</row>
    <row r="589" spans="19:34" x14ac:dyDescent="0.25">
      <c r="S589" s="116"/>
      <c r="T589" s="70">
        <f>M42</f>
        <v>5.2572916666666664E-2</v>
      </c>
      <c r="U589" s="69">
        <f t="shared" ref="U589:U597" si="174">+S9*T589</f>
        <v>2.1312102820300848E-6</v>
      </c>
      <c r="V589" s="69">
        <f t="shared" ref="V589:V597" si="175">$T$588*T589</f>
        <v>4.617290884548611E-2</v>
      </c>
      <c r="W589" s="69">
        <f t="shared" ref="W589:W597" si="176">$R$8*R9</f>
        <v>0.12918986849197683</v>
      </c>
      <c r="X589" s="69">
        <f t="shared" ref="X589:X597" si="177">SQRT(W589)</f>
        <v>0.35942992153127268</v>
      </c>
      <c r="Y589" s="70">
        <f t="shared" ref="Y589:Y597" si="178">(($T$588*T589)*SQRT($R$8*R9))*(1-B60)</f>
        <v>1.6639074408212006E-2</v>
      </c>
      <c r="Z589" s="70"/>
      <c r="AA589" s="70"/>
      <c r="AB589" s="70"/>
      <c r="AC589" s="70"/>
      <c r="AD589" s="70"/>
      <c r="AE589" s="70"/>
      <c r="AF589" s="70"/>
      <c r="AG589" s="70"/>
      <c r="AH589" s="70"/>
    </row>
    <row r="590" spans="19:34" x14ac:dyDescent="0.25">
      <c r="S590" s="116"/>
      <c r="T590" s="70">
        <f>+E42</f>
        <v>4.0558333333333323E-3</v>
      </c>
      <c r="U590" s="69">
        <f t="shared" si="174"/>
        <v>2.2840940716663746E-7</v>
      </c>
      <c r="V590" s="69">
        <f t="shared" si="175"/>
        <v>3.5620930826388885E-3</v>
      </c>
      <c r="W590" s="69">
        <f t="shared" si="176"/>
        <v>0.24193902239770376</v>
      </c>
      <c r="X590" s="69">
        <f t="shared" si="177"/>
        <v>0.49187297384355622</v>
      </c>
      <c r="Y590" s="70">
        <f t="shared" si="178"/>
        <v>1.7275679552178384E-3</v>
      </c>
      <c r="Z590" s="70">
        <f t="shared" ref="Z590:Z597" si="179">(($T$589*T590)*SQRT($R$9*R10))*(1-B61)</f>
        <v>1.7957063861968035E-4</v>
      </c>
      <c r="AA590" s="70"/>
      <c r="AB590" s="70"/>
      <c r="AC590" s="70"/>
      <c r="AD590" s="70"/>
      <c r="AE590" s="70"/>
      <c r="AF590" s="70"/>
      <c r="AG590" s="70"/>
      <c r="AH590" s="70"/>
    </row>
    <row r="591" spans="19:34" x14ac:dyDescent="0.25">
      <c r="S591" s="116"/>
      <c r="T591" s="70">
        <f>+G42</f>
        <v>5.4124999999999996E-4</v>
      </c>
      <c r="U591" s="69">
        <f t="shared" si="174"/>
        <v>3.9210239917298101E-8</v>
      </c>
      <c r="V591" s="69">
        <f t="shared" si="175"/>
        <v>4.7536048020833331E-4</v>
      </c>
      <c r="W591" s="69">
        <f t="shared" si="176"/>
        <v>0.39059496580954223</v>
      </c>
      <c r="X591" s="69">
        <f t="shared" si="177"/>
        <v>0.62497597218576506</v>
      </c>
      <c r="Y591" s="70">
        <f t="shared" si="178"/>
        <v>2.8948340297351875E-4</v>
      </c>
      <c r="Z591" s="70">
        <f t="shared" si="179"/>
        <v>3.0090115636115892E-5</v>
      </c>
      <c r="AA591" s="70">
        <f t="shared" ref="AA591:AA597" si="180">(($T$590*U591)*SQRT($R$10*S11))*(1-C62)</f>
        <v>1.4731872451805117E-12</v>
      </c>
      <c r="AB591" s="70"/>
      <c r="AC591" s="70"/>
      <c r="AD591" s="70"/>
      <c r="AE591" s="70"/>
      <c r="AF591" s="70"/>
      <c r="AG591" s="70"/>
      <c r="AH591" s="70"/>
    </row>
    <row r="592" spans="19:34" x14ac:dyDescent="0.25">
      <c r="S592" s="116"/>
      <c r="T592" s="70">
        <f>+F42</f>
        <v>3.1208333333333348E-4</v>
      </c>
      <c r="U592" s="69">
        <f t="shared" si="174"/>
        <v>2.2616878801265071E-8</v>
      </c>
      <c r="V592" s="69">
        <f t="shared" si="175"/>
        <v>2.7409160868055574E-4</v>
      </c>
      <c r="W592" s="69">
        <f t="shared" si="176"/>
        <v>0.36453710099529019</v>
      </c>
      <c r="X592" s="69">
        <f t="shared" si="177"/>
        <v>0.60376907919774281</v>
      </c>
      <c r="Y592" s="70">
        <f t="shared" si="178"/>
        <v>1.6328704728097498E-4</v>
      </c>
      <c r="Z592" s="70">
        <f t="shared" si="179"/>
        <v>1.6972738623685167E-5</v>
      </c>
      <c r="AA592" s="70">
        <f t="shared" si="180"/>
        <v>8.3614565344345276E-13</v>
      </c>
      <c r="AB592" s="70">
        <f t="shared" ref="AB592:AB597" si="181">(($T$591*V592)*SQRT($R$11*T592))*(1-D63)</f>
        <v>3.5882380069810923E-9</v>
      </c>
      <c r="AC592" s="70"/>
      <c r="AD592" s="70"/>
      <c r="AE592" s="70"/>
      <c r="AF592" s="70"/>
      <c r="AG592" s="70"/>
      <c r="AH592" s="70"/>
    </row>
    <row r="593" spans="19:34" x14ac:dyDescent="0.25">
      <c r="S593" s="116"/>
      <c r="T593" s="70">
        <f>+I42</f>
        <v>1.2458333333333337E-4</v>
      </c>
      <c r="U593" s="69">
        <f t="shared" si="174"/>
        <v>1.1232252631921789E-8</v>
      </c>
      <c r="V593" s="69">
        <f t="shared" si="175"/>
        <v>1.0941707743055559E-4</v>
      </c>
      <c r="W593" s="69">
        <f t="shared" si="176"/>
        <v>0.57891172563229198</v>
      </c>
      <c r="X593" s="69">
        <f t="shared" si="177"/>
        <v>0.76086248799128742</v>
      </c>
      <c r="Y593" s="70">
        <f t="shared" si="178"/>
        <v>8.3717557321218145E-5</v>
      </c>
      <c r="Z593" s="70">
        <f t="shared" si="179"/>
        <v>8.7019530470251284E-6</v>
      </c>
      <c r="AA593" s="70">
        <f t="shared" si="180"/>
        <v>4.6765750435847475E-13</v>
      </c>
      <c r="AB593" s="70">
        <f t="shared" si="181"/>
        <v>8.9795219530262407E-10</v>
      </c>
      <c r="AC593" s="70">
        <f>(($T$592*W593)*SQRT($R$12*U593))*(1-E64)</f>
        <v>2.541041436319574E-8</v>
      </c>
      <c r="AD593" s="70"/>
      <c r="AE593" s="70"/>
      <c r="AF593" s="70"/>
      <c r="AG593" s="70"/>
      <c r="AH593" s="70"/>
    </row>
    <row r="594" spans="19:34" x14ac:dyDescent="0.25">
      <c r="S594" s="116"/>
      <c r="T594" s="70">
        <f>+H42</f>
        <v>1.2375000000000005E-4</v>
      </c>
      <c r="U594" s="69">
        <f t="shared" si="174"/>
        <v>1.0903855292784321E-8</v>
      </c>
      <c r="V594" s="69">
        <f t="shared" si="175"/>
        <v>1.0868519062500006E-4</v>
      </c>
      <c r="W594" s="69">
        <f t="shared" si="176"/>
        <v>0.54235185847350886</v>
      </c>
      <c r="X594" s="69">
        <f t="shared" si="177"/>
        <v>0.73644542124553181</v>
      </c>
      <c r="Y594" s="70">
        <f t="shared" si="178"/>
        <v>7.8199774640140568E-5</v>
      </c>
      <c r="Z594" s="70">
        <f t="shared" si="179"/>
        <v>8.1284116376622914E-6</v>
      </c>
      <c r="AA594" s="70">
        <f t="shared" si="180"/>
        <v>4.4530167063607543E-13</v>
      </c>
      <c r="AB594" s="70">
        <f t="shared" si="181"/>
        <v>8.7493432424080715E-10</v>
      </c>
      <c r="AC594" s="70">
        <f>(($T$592*W594)*SQRT($R$12*U594))*(1-E65)</f>
        <v>2.3455092057345391E-8</v>
      </c>
      <c r="AD594" s="70">
        <f>(($T$593*X594)*SQRT($R$13*V594))*(1-F65)</f>
        <v>1.599618423677372E-6</v>
      </c>
      <c r="AE594" s="70"/>
      <c r="AF594" s="70"/>
      <c r="AG594" s="70"/>
      <c r="AH594" s="70"/>
    </row>
    <row r="595" spans="19:34" x14ac:dyDescent="0.25">
      <c r="S595" s="116"/>
      <c r="T595" s="70">
        <f>+D42</f>
        <v>2.1083333333333343E-4</v>
      </c>
      <c r="U595" s="69">
        <f t="shared" si="174"/>
        <v>2.2885044778407281E-8</v>
      </c>
      <c r="V595" s="69">
        <f t="shared" si="175"/>
        <v>1.8516736180555565E-4</v>
      </c>
      <c r="W595" s="69">
        <f t="shared" si="176"/>
        <v>0.8050809492880614</v>
      </c>
      <c r="X595" s="69">
        <f t="shared" si="177"/>
        <v>0.89726303238685889</v>
      </c>
      <c r="Y595" s="70">
        <f t="shared" si="178"/>
        <v>1.5913255898780237E-4</v>
      </c>
      <c r="Z595" s="70">
        <f t="shared" si="179"/>
        <v>1.6540903734823204E-5</v>
      </c>
      <c r="AA595" s="70">
        <f t="shared" si="180"/>
        <v>1.0559344832766182E-12</v>
      </c>
      <c r="AB595" s="70">
        <f t="shared" si="181"/>
        <v>1.9976330739916441E-9</v>
      </c>
      <c r="AC595" s="70">
        <f>(($T$592*W595)*SQRT($R$12*U595))*(1-E66)</f>
        <v>5.0440734591795275E-8</v>
      </c>
      <c r="AD595" s="70">
        <f>(($T$593*X595)*SQRT($R$13*V595))*(1-F66)</f>
        <v>2.5581022788944572E-6</v>
      </c>
      <c r="AE595" s="70">
        <f>(($T$594*Y595)*SQRT($R$14*W595))*(1-G66)</f>
        <v>2.8601520492624647E-8</v>
      </c>
      <c r="AF595" s="70"/>
      <c r="AG595" s="70"/>
      <c r="AH595" s="70"/>
    </row>
    <row r="596" spans="19:34" x14ac:dyDescent="0.25">
      <c r="S596" s="116"/>
      <c r="T596" s="70">
        <f>+J42</f>
        <v>6.3032916666666661E-2</v>
      </c>
      <c r="U596" s="69">
        <f t="shared" si="174"/>
        <v>1.5134361319563973E-6</v>
      </c>
      <c r="V596" s="69">
        <f t="shared" si="175"/>
        <v>5.5359552028819446E-2</v>
      </c>
      <c r="W596" s="69">
        <f t="shared" si="176"/>
        <v>1.8651528335962096E-2</v>
      </c>
      <c r="X596" s="69">
        <f t="shared" si="177"/>
        <v>0.13657059835836591</v>
      </c>
      <c r="Y596" s="70">
        <f t="shared" si="178"/>
        <v>7.3253559952041825E-3</v>
      </c>
      <c r="Z596" s="70">
        <f t="shared" si="179"/>
        <v>7.6142813960070857E-4</v>
      </c>
      <c r="AA596" s="70">
        <f t="shared" si="180"/>
        <v>3.0843053521102588E-11</v>
      </c>
      <c r="AB596" s="70">
        <f t="shared" si="181"/>
        <v>9.453403181049728E-6</v>
      </c>
      <c r="AC596" s="70">
        <f>(($T$592*W596)*SQRT($R$12*U596))*(1-E67)</f>
        <v>8.5213737247566462E-9</v>
      </c>
      <c r="AD596" s="70">
        <f>(($T$593*X596)*SQRT($R$13*V596))*(1-F67)</f>
        <v>6.1593086630026853E-6</v>
      </c>
      <c r="AE596" s="70">
        <f>(($T$594*Y596)*SQRT($R$14*W596))*(1-G67)</f>
        <v>1.8192250420629517E-7</v>
      </c>
      <c r="AF596" s="70">
        <f>(($T$595*Z596)*SQRT($R$15*X596))*(1-H67)</f>
        <v>1.0530127122705743E-7</v>
      </c>
      <c r="AG596" s="70"/>
      <c r="AH596" s="70"/>
    </row>
    <row r="597" spans="19:34" x14ac:dyDescent="0.25">
      <c r="S597" s="116"/>
      <c r="T597" s="70">
        <f>L42</f>
        <v>7.5874999999999998E-4</v>
      </c>
      <c r="U597" s="69">
        <f t="shared" si="174"/>
        <v>2.0223465511218786E-8</v>
      </c>
      <c r="V597" s="69">
        <f t="shared" si="175"/>
        <v>6.6638293645833338E-4</v>
      </c>
      <c r="W597" s="69">
        <f t="shared" si="176"/>
        <v>8.5334097849090448E-2</v>
      </c>
      <c r="X597" s="69">
        <f t="shared" si="177"/>
        <v>0.29212000590355064</v>
      </c>
      <c r="Y597" s="70">
        <f t="shared" si="178"/>
        <v>1.7677418527640146E-4</v>
      </c>
      <c r="Z597" s="70">
        <f t="shared" si="179"/>
        <v>1.837464815533372E-5</v>
      </c>
      <c r="AA597" s="70">
        <f t="shared" si="180"/>
        <v>3.9729330677454066E-13</v>
      </c>
      <c r="AB597" s="70">
        <f t="shared" si="181"/>
        <v>1.1954006900686048E-8</v>
      </c>
      <c r="AC597" s="70">
        <f>(($T$592*W597)*SQRT($R$12*U597))*(1-E68)</f>
        <v>4.4228176342961017E-9</v>
      </c>
      <c r="AD597" s="70">
        <f>(($T$593*X597)*SQRT($R$13*V597))*(1-F68)</f>
        <v>1.3617038855506517E-6</v>
      </c>
      <c r="AE597" s="70">
        <f>(($T$594*Y597)*SQRT($R$14*W597))*(1-G68)</f>
        <v>8.0786999558213069E-9</v>
      </c>
      <c r="AF597" s="70">
        <f>(($T$595*Z597)*SQRT($R$15*X597))*(1-H68)</f>
        <v>3.6247564771543174E-9</v>
      </c>
      <c r="AG597" s="70">
        <f>(($T$596*AA597)*SQRT($R$16*Y597))*(1-I68)</f>
        <v>8.8952840048834695E-17</v>
      </c>
      <c r="AH597" s="70"/>
    </row>
    <row r="598" spans="19:34" x14ac:dyDescent="0.25">
      <c r="S598" s="116"/>
      <c r="T598" s="130" t="s">
        <v>77</v>
      </c>
      <c r="U598" s="133">
        <f>SUM(U588:U597)</f>
        <v>2.7540306257469794E-5</v>
      </c>
      <c r="V598" s="108"/>
      <c r="W598" s="108"/>
      <c r="X598" s="108"/>
      <c r="Y598" s="70">
        <f>SUM(Y589:Y597)</f>
        <v>2.6642592885114086E-2</v>
      </c>
      <c r="Z598" s="70">
        <f t="shared" ref="Z598:AG598" si="182">SUM(Z589:Z597)</f>
        <v>1.0398075490550343E-3</v>
      </c>
      <c r="AA598" s="70">
        <f t="shared" si="182"/>
        <v>3.5518573384772265E-11</v>
      </c>
      <c r="AB598" s="70">
        <f t="shared" si="182"/>
        <v>9.4727159455509302E-6</v>
      </c>
      <c r="AC598" s="70">
        <f t="shared" si="182"/>
        <v>1.1225043237138916E-7</v>
      </c>
      <c r="AD598" s="70">
        <f t="shared" si="182"/>
        <v>1.1678733251125166E-5</v>
      </c>
      <c r="AE598" s="70">
        <f t="shared" si="182"/>
        <v>2.1860272465474111E-7</v>
      </c>
      <c r="AF598" s="70">
        <f t="shared" si="182"/>
        <v>1.0892602770421174E-7</v>
      </c>
      <c r="AG598" s="70">
        <f t="shared" si="182"/>
        <v>8.8952840048834695E-17</v>
      </c>
      <c r="AH598" s="130">
        <f>SUM(Y598:AG598)</f>
        <v>2.770399169806919E-2</v>
      </c>
    </row>
    <row r="599" spans="19:34" x14ac:dyDescent="0.25">
      <c r="S599" s="116"/>
    </row>
    <row r="600" spans="19:34" x14ac:dyDescent="0.25">
      <c r="S600" s="116"/>
      <c r="T600" s="112" t="s">
        <v>99</v>
      </c>
      <c r="U600" s="108"/>
      <c r="V600" s="108"/>
      <c r="W600" s="108"/>
      <c r="X600" s="108"/>
      <c r="Y600" s="108"/>
      <c r="Z600" s="108"/>
      <c r="AA600" s="108"/>
      <c r="AB600" s="108"/>
    </row>
    <row r="601" spans="19:34" x14ac:dyDescent="0.25">
      <c r="S601" s="116"/>
      <c r="T601" s="137" t="s">
        <v>100</v>
      </c>
      <c r="U601" s="138">
        <f>+AH598</f>
        <v>2.770399169806919E-2</v>
      </c>
      <c r="V601" s="138" t="s">
        <v>101</v>
      </c>
      <c r="W601" s="139"/>
      <c r="X601" s="108"/>
      <c r="Y601" s="108"/>
      <c r="Z601" s="108"/>
      <c r="AA601" s="108"/>
      <c r="AB601" s="108"/>
    </row>
    <row r="602" spans="19:34" x14ac:dyDescent="0.25">
      <c r="S602" s="116"/>
      <c r="T602" s="137" t="s">
        <v>103</v>
      </c>
      <c r="U602" s="138">
        <f>+U598</f>
        <v>2.7540306257469794E-5</v>
      </c>
      <c r="V602" s="138" t="s">
        <v>101</v>
      </c>
      <c r="W602" s="108"/>
      <c r="X602" s="108"/>
      <c r="Y602" s="108"/>
      <c r="Z602" s="140" t="e">
        <f>(U606*U606)+(2*U602*U606)-(U602*U602)</f>
        <v>#DIV/0!</v>
      </c>
      <c r="AA602" s="108"/>
      <c r="AB602" s="108"/>
    </row>
    <row r="603" spans="19:34" x14ac:dyDescent="0.25">
      <c r="S603" s="116"/>
      <c r="T603" s="137" t="s">
        <v>104</v>
      </c>
      <c r="U603" s="138">
        <v>8.3145100000000003</v>
      </c>
      <c r="V603" s="138" t="s">
        <v>105</v>
      </c>
      <c r="W603" s="108"/>
      <c r="X603" s="108"/>
      <c r="Y603" s="108"/>
      <c r="Z603" s="140"/>
      <c r="AA603" s="108"/>
      <c r="AB603" s="108"/>
    </row>
    <row r="604" spans="19:34" x14ac:dyDescent="0.25">
      <c r="S604" s="116"/>
      <c r="T604" s="137" t="s">
        <v>106</v>
      </c>
      <c r="U604" s="141">
        <f>B42*98066.5</f>
        <v>0</v>
      </c>
      <c r="V604" s="142" t="s">
        <v>107</v>
      </c>
      <c r="W604" s="108"/>
      <c r="X604" s="108"/>
      <c r="Y604" s="108"/>
      <c r="Z604" s="140" t="e">
        <f>U601/Z602</f>
        <v>#DIV/0!</v>
      </c>
      <c r="AA604" s="108"/>
      <c r="AB604" s="108"/>
    </row>
    <row r="605" spans="19:34" x14ac:dyDescent="0.25">
      <c r="S605" s="116"/>
      <c r="T605" s="137" t="s">
        <v>108</v>
      </c>
      <c r="U605" s="141" t="s">
        <v>109</v>
      </c>
      <c r="V605" s="138" t="s">
        <v>110</v>
      </c>
      <c r="W605" s="108"/>
      <c r="X605" s="108"/>
      <c r="Y605" s="108"/>
      <c r="Z605" s="140"/>
      <c r="AA605" s="108"/>
      <c r="AB605" s="108"/>
    </row>
    <row r="606" spans="19:34" x14ac:dyDescent="0.25">
      <c r="S606" s="116"/>
      <c r="T606" s="137" t="s">
        <v>112</v>
      </c>
      <c r="U606" s="138" t="e">
        <f>+U614</f>
        <v>#DIV/0!</v>
      </c>
      <c r="V606" s="138" t="s">
        <v>113</v>
      </c>
      <c r="W606" s="108"/>
      <c r="X606" s="108"/>
      <c r="Y606" s="108"/>
      <c r="Z606" s="140" t="e">
        <f>U606-U602</f>
        <v>#DIV/0!</v>
      </c>
      <c r="AA606" s="108"/>
      <c r="AB606" s="108"/>
    </row>
    <row r="607" spans="19:34" x14ac:dyDescent="0.25">
      <c r="S607" s="116"/>
      <c r="T607" s="108"/>
      <c r="U607" s="108"/>
      <c r="V607" s="108"/>
      <c r="W607" s="108"/>
      <c r="X607" s="108"/>
      <c r="Y607" s="108"/>
      <c r="Z607" s="108"/>
      <c r="AA607" s="108"/>
      <c r="AB607" s="108"/>
    </row>
    <row r="608" spans="19:34" x14ac:dyDescent="0.25">
      <c r="S608" s="116"/>
      <c r="T608" s="108"/>
      <c r="U608" s="108"/>
      <c r="V608" s="108"/>
      <c r="W608" s="108"/>
      <c r="X608" s="108"/>
      <c r="Y608" s="108"/>
      <c r="Z608" s="108"/>
      <c r="AA608" s="108"/>
      <c r="AB608" s="108"/>
    </row>
    <row r="609" spans="19:34" x14ac:dyDescent="0.25">
      <c r="S609" s="116"/>
      <c r="T609" s="108"/>
      <c r="U609" s="108"/>
      <c r="V609" s="108"/>
      <c r="W609" s="108"/>
      <c r="X609" s="108"/>
      <c r="Y609" s="108"/>
      <c r="Z609" s="108"/>
      <c r="AA609" s="108"/>
      <c r="AB609" s="108"/>
    </row>
    <row r="610" spans="19:34" x14ac:dyDescent="0.25">
      <c r="S610" s="116"/>
      <c r="T610" s="108" t="s">
        <v>116</v>
      </c>
      <c r="U610" s="108">
        <v>0.98</v>
      </c>
      <c r="V610" s="108"/>
      <c r="W610" s="108"/>
      <c r="X610" s="108"/>
      <c r="Y610" s="108"/>
      <c r="Z610" s="108"/>
      <c r="AA610" s="108"/>
      <c r="AB610" s="108"/>
    </row>
    <row r="611" spans="19:34" x14ac:dyDescent="0.25">
      <c r="S611" s="116"/>
      <c r="T611" s="108" t="s">
        <v>106</v>
      </c>
      <c r="U611" s="143">
        <f>U604</f>
        <v>0</v>
      </c>
      <c r="V611" s="108" t="s">
        <v>117</v>
      </c>
      <c r="W611" s="108"/>
      <c r="X611" s="108"/>
      <c r="Y611" s="108"/>
      <c r="Z611" s="108"/>
      <c r="AA611" s="108"/>
      <c r="AB611" s="108"/>
    </row>
    <row r="612" spans="19:34" x14ac:dyDescent="0.25">
      <c r="S612" s="116"/>
      <c r="T612" s="108" t="s">
        <v>118</v>
      </c>
      <c r="U612" s="143">
        <f>C42+273.15</f>
        <v>273.14999999999998</v>
      </c>
      <c r="V612" s="108" t="s">
        <v>49</v>
      </c>
      <c r="W612" s="108"/>
      <c r="X612" s="108"/>
      <c r="Y612" s="108"/>
      <c r="Z612" s="108"/>
      <c r="AA612" s="108"/>
      <c r="AB612" s="108"/>
    </row>
    <row r="613" spans="19:34" x14ac:dyDescent="0.25">
      <c r="S613" s="116"/>
      <c r="T613" s="108"/>
      <c r="U613" s="108"/>
      <c r="V613" s="108"/>
      <c r="W613" s="108"/>
      <c r="X613" s="108"/>
      <c r="Y613" s="108"/>
      <c r="Z613" s="108"/>
      <c r="AA613" s="108"/>
      <c r="AB613" s="108"/>
    </row>
    <row r="614" spans="19:34" x14ac:dyDescent="0.25">
      <c r="S614" s="116"/>
      <c r="T614" s="108" t="s">
        <v>121</v>
      </c>
      <c r="U614" s="108" t="e">
        <f>(0.98*U603*U612)/U611</f>
        <v>#DIV/0!</v>
      </c>
      <c r="V614" s="108" t="s">
        <v>113</v>
      </c>
      <c r="W614" s="108"/>
      <c r="X614" s="108"/>
      <c r="Y614" s="108"/>
      <c r="Z614" s="108"/>
      <c r="AA614" s="108"/>
      <c r="AB614" s="108"/>
    </row>
    <row r="615" spans="19:34" x14ac:dyDescent="0.25">
      <c r="S615" s="116"/>
      <c r="T615" s="147"/>
      <c r="U615" s="116"/>
      <c r="V615" s="116"/>
      <c r="W615" s="116"/>
      <c r="X615" s="116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</row>
    <row r="616" spans="19:34" ht="15.75" thickBot="1" x14ac:dyDescent="0.3">
      <c r="S616" s="116"/>
      <c r="T616" s="147"/>
      <c r="U616" s="116"/>
      <c r="V616" s="116"/>
      <c r="W616" s="116"/>
      <c r="X616" s="116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</row>
    <row r="617" spans="19:34" ht="15.75" thickBot="1" x14ac:dyDescent="0.3">
      <c r="S617" s="116"/>
      <c r="V617" s="162" t="s">
        <v>60</v>
      </c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4"/>
    </row>
    <row r="618" spans="19:34" x14ac:dyDescent="0.25">
      <c r="S618" s="116"/>
      <c r="Y618" s="175" t="s">
        <v>63</v>
      </c>
      <c r="Z618" s="175"/>
      <c r="AA618" s="175"/>
      <c r="AB618" s="175"/>
      <c r="AC618" s="175"/>
      <c r="AD618" s="175"/>
      <c r="AE618" s="175"/>
      <c r="AF618" s="175"/>
      <c r="AG618" s="175"/>
      <c r="AH618" s="175"/>
    </row>
    <row r="619" spans="19:34" ht="17.25" x14ac:dyDescent="0.25">
      <c r="S619" s="116">
        <v>20</v>
      </c>
      <c r="T619" s="70" t="s">
        <v>76</v>
      </c>
      <c r="U619" s="130" t="s">
        <v>77</v>
      </c>
      <c r="V619" s="70" t="s">
        <v>78</v>
      </c>
      <c r="W619" s="70" t="s">
        <v>79</v>
      </c>
      <c r="X619" s="70" t="s">
        <v>80</v>
      </c>
      <c r="Y619" s="131" t="s">
        <v>30</v>
      </c>
      <c r="Z619" s="131" t="s">
        <v>32</v>
      </c>
      <c r="AA619" s="131" t="s">
        <v>81</v>
      </c>
      <c r="AB619" s="131" t="s">
        <v>25</v>
      </c>
      <c r="AC619" s="131" t="s">
        <v>26</v>
      </c>
      <c r="AD619" s="131" t="s">
        <v>27</v>
      </c>
      <c r="AE619" s="131" t="s">
        <v>28</v>
      </c>
      <c r="AF619" s="131" t="s">
        <v>82</v>
      </c>
      <c r="AG619" s="131" t="s">
        <v>29</v>
      </c>
      <c r="AH619" s="132" t="s">
        <v>31</v>
      </c>
    </row>
    <row r="620" spans="19:34" x14ac:dyDescent="0.25">
      <c r="S620" s="116"/>
      <c r="T620" s="70">
        <f>K43</f>
        <v>0.87437291666666672</v>
      </c>
      <c r="U620" s="69">
        <f>+S8*T620</f>
        <v>2.3435881241010139E-5</v>
      </c>
      <c r="V620" s="69">
        <f>$T$620*T620</f>
        <v>0.76452799740017374</v>
      </c>
      <c r="W620" s="69">
        <f>$R$8*R8</f>
        <v>4.2845172623208805E-2</v>
      </c>
      <c r="X620" s="69">
        <f>SQRT(W620)</f>
        <v>0.20699075492207086</v>
      </c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</row>
    <row r="621" spans="19:34" x14ac:dyDescent="0.25">
      <c r="S621" s="116"/>
      <c r="T621" s="70">
        <f>M43</f>
        <v>5.1169999999999993E-2</v>
      </c>
      <c r="U621" s="69">
        <f t="shared" ref="U621:U629" si="183">+S9*T621</f>
        <v>2.0743385957245936E-6</v>
      </c>
      <c r="V621" s="69">
        <f t="shared" ref="V621:V629" si="184">$T$620*T621</f>
        <v>4.4741662145833333E-2</v>
      </c>
      <c r="W621" s="69">
        <f t="shared" ref="W621:W629" si="185">$R$8*R9</f>
        <v>0.12918986849197683</v>
      </c>
      <c r="X621" s="69">
        <f t="shared" ref="X621:X629" si="186">SQRT(W621)</f>
        <v>0.35942992153127268</v>
      </c>
      <c r="Y621" s="70">
        <f t="shared" ref="Y621:Y629" si="187">(($T$620*T621)*SQRT($R$8*R9))*(1-B60)</f>
        <v>1.6123303993752652E-2</v>
      </c>
      <c r="Z621" s="70"/>
      <c r="AA621" s="70"/>
      <c r="AB621" s="70"/>
      <c r="AC621" s="70"/>
      <c r="AD621" s="70"/>
      <c r="AE621" s="70"/>
      <c r="AF621" s="70"/>
      <c r="AG621" s="70"/>
      <c r="AH621" s="70"/>
    </row>
    <row r="622" spans="19:34" x14ac:dyDescent="0.25">
      <c r="S622" s="116"/>
      <c r="T622" s="70">
        <f>+E43</f>
        <v>3.5245833333333336E-3</v>
      </c>
      <c r="U622" s="69">
        <f t="shared" si="183"/>
        <v>1.984913884551661E-7</v>
      </c>
      <c r="V622" s="69">
        <f t="shared" si="184"/>
        <v>3.0818002092013893E-3</v>
      </c>
      <c r="W622" s="69">
        <f t="shared" si="185"/>
        <v>0.24193902239770376</v>
      </c>
      <c r="X622" s="69">
        <f t="shared" si="186"/>
        <v>0.49187297384355622</v>
      </c>
      <c r="Y622" s="70">
        <f t="shared" si="187"/>
        <v>1.4946322744198988E-3</v>
      </c>
      <c r="Z622" s="70">
        <f t="shared" ref="Z622:Z629" si="188">(($T$621*T622)*SQRT($R$9*R10))*(1-B61)</f>
        <v>1.5188551409164514E-4</v>
      </c>
      <c r="AA622" s="70"/>
      <c r="AB622" s="70"/>
      <c r="AC622" s="70"/>
      <c r="AD622" s="70"/>
      <c r="AE622" s="70"/>
      <c r="AF622" s="70"/>
      <c r="AG622" s="70"/>
      <c r="AH622" s="70"/>
    </row>
    <row r="623" spans="19:34" x14ac:dyDescent="0.25">
      <c r="S623" s="116"/>
      <c r="T623" s="70">
        <f>+G43</f>
        <v>4.1000000000000015E-4</v>
      </c>
      <c r="U623" s="69">
        <f t="shared" si="183"/>
        <v>2.9701983124419821E-8</v>
      </c>
      <c r="V623" s="69">
        <f t="shared" si="184"/>
        <v>3.5849289583333348E-4</v>
      </c>
      <c r="W623" s="69">
        <f t="shared" si="185"/>
        <v>0.39059496580954223</v>
      </c>
      <c r="X623" s="69">
        <f t="shared" si="186"/>
        <v>0.62497597218576506</v>
      </c>
      <c r="Y623" s="70">
        <f t="shared" si="187"/>
        <v>2.1831378027509254E-4</v>
      </c>
      <c r="Z623" s="70">
        <f t="shared" si="188"/>
        <v>2.2185189840920933E-5</v>
      </c>
      <c r="AA623" s="70">
        <f t="shared" ref="AA623:AA629" si="189">(($T$622*U623)*SQRT($R$10*S11))*(1-C62)</f>
        <v>9.6977633159599216E-13</v>
      </c>
      <c r="AB623" s="70"/>
      <c r="AC623" s="70"/>
      <c r="AD623" s="70"/>
      <c r="AE623" s="70"/>
      <c r="AF623" s="70"/>
      <c r="AG623" s="70"/>
      <c r="AH623" s="70"/>
    </row>
    <row r="624" spans="19:34" x14ac:dyDescent="0.25">
      <c r="S624" s="116"/>
      <c r="T624" s="70">
        <f>+F43</f>
        <v>2.462500000000001E-4</v>
      </c>
      <c r="U624" s="69">
        <f t="shared" si="183"/>
        <v>1.7845895022092998E-8</v>
      </c>
      <c r="V624" s="69">
        <f t="shared" si="184"/>
        <v>2.1531433072916677E-4</v>
      </c>
      <c r="W624" s="69">
        <f t="shared" si="185"/>
        <v>0.36453710099529019</v>
      </c>
      <c r="X624" s="69">
        <f t="shared" si="186"/>
        <v>0.60376907919774281</v>
      </c>
      <c r="Y624" s="70">
        <f t="shared" si="187"/>
        <v>1.2827113340423501E-4</v>
      </c>
      <c r="Z624" s="70">
        <f t="shared" si="188"/>
        <v>1.3034996884288372E-5</v>
      </c>
      <c r="AA624" s="70">
        <f t="shared" si="189"/>
        <v>5.7334401416045961E-13</v>
      </c>
      <c r="AB624" s="70">
        <f t="shared" ref="AB624:AB629" si="190">(($T$623*V624)*SQRT($R$11*T624))*(1-D63)</f>
        <v>1.8966937685003907E-9</v>
      </c>
      <c r="AC624" s="70"/>
      <c r="AD624" s="70"/>
      <c r="AE624" s="70"/>
      <c r="AF624" s="70"/>
      <c r="AG624" s="70"/>
      <c r="AH624" s="70"/>
    </row>
    <row r="625" spans="19:34" x14ac:dyDescent="0.25">
      <c r="S625" s="116"/>
      <c r="T625" s="70">
        <f>+I43</f>
        <v>1.0500000000000002E-4</v>
      </c>
      <c r="U625" s="69">
        <f t="shared" si="183"/>
        <v>9.4666477031581606E-9</v>
      </c>
      <c r="V625" s="69">
        <f t="shared" si="184"/>
        <v>9.1809156250000028E-5</v>
      </c>
      <c r="W625" s="69">
        <f t="shared" si="185"/>
        <v>0.57891172563229198</v>
      </c>
      <c r="X625" s="69">
        <f t="shared" si="186"/>
        <v>0.76086248799128742</v>
      </c>
      <c r="Y625" s="70">
        <f t="shared" si="187"/>
        <v>7.0245326245806509E-5</v>
      </c>
      <c r="Z625" s="70">
        <f t="shared" si="188"/>
        <v>7.1383762226870382E-6</v>
      </c>
      <c r="AA625" s="70">
        <f t="shared" si="189"/>
        <v>3.4251921754139072E-13</v>
      </c>
      <c r="AB625" s="70">
        <f t="shared" si="190"/>
        <v>5.2396795349704911E-10</v>
      </c>
      <c r="AC625" s="70">
        <f>(($T$624*W625)*SQRT($R$12*U625))*(1-E64)</f>
        <v>1.8406960759802349E-8</v>
      </c>
      <c r="AD625" s="70"/>
      <c r="AE625" s="70"/>
      <c r="AF625" s="70"/>
      <c r="AG625" s="70"/>
      <c r="AH625" s="70"/>
    </row>
    <row r="626" spans="19:34" x14ac:dyDescent="0.25">
      <c r="S626" s="116"/>
      <c r="T626" s="70">
        <f>+H43</f>
        <v>1.041666666666667E-4</v>
      </c>
      <c r="U626" s="69">
        <f t="shared" si="183"/>
        <v>9.1783293710305719E-9</v>
      </c>
      <c r="V626" s="69">
        <f t="shared" si="184"/>
        <v>9.1080512152777817E-5</v>
      </c>
      <c r="W626" s="69">
        <f t="shared" si="185"/>
        <v>0.54235185847350886</v>
      </c>
      <c r="X626" s="69">
        <f t="shared" si="186"/>
        <v>0.73644542124553181</v>
      </c>
      <c r="Y626" s="70">
        <f t="shared" si="187"/>
        <v>6.5533082138400178E-5</v>
      </c>
      <c r="Z626" s="70">
        <f t="shared" si="188"/>
        <v>6.6595148793131132E-6</v>
      </c>
      <c r="AA626" s="70">
        <f t="shared" si="189"/>
        <v>3.2573585591468435E-13</v>
      </c>
      <c r="AB626" s="70">
        <f t="shared" si="190"/>
        <v>5.0957518890734155E-10</v>
      </c>
      <c r="AC626" s="70">
        <f>(($T$624*W626)*SQRT($R$12*U626))*(1-E65)</f>
        <v>1.697987874893042E-8</v>
      </c>
      <c r="AD626" s="70">
        <f>(($T$625*X626)*SQRT($R$13*V626))*(1-F65)</f>
        <v>1.2341651996788317E-6</v>
      </c>
      <c r="AE626" s="70"/>
      <c r="AF626" s="70"/>
      <c r="AG626" s="70"/>
      <c r="AH626" s="70"/>
    </row>
    <row r="627" spans="19:34" x14ac:dyDescent="0.25">
      <c r="S627" s="116"/>
      <c r="T627" s="70">
        <f>+D43</f>
        <v>1.7208333333333336E-4</v>
      </c>
      <c r="U627" s="69">
        <f t="shared" si="183"/>
        <v>1.8678900184747441E-8</v>
      </c>
      <c r="V627" s="69">
        <f t="shared" si="184"/>
        <v>1.5046500607638892E-4</v>
      </c>
      <c r="W627" s="69">
        <f t="shared" si="185"/>
        <v>0.8050809492880614</v>
      </c>
      <c r="X627" s="69">
        <f t="shared" si="186"/>
        <v>0.89726303238685889</v>
      </c>
      <c r="Y627" s="70">
        <f t="shared" si="187"/>
        <v>1.2930940540263511E-4</v>
      </c>
      <c r="Z627" s="70">
        <f t="shared" si="188"/>
        <v>1.3140506767182588E-5</v>
      </c>
      <c r="AA627" s="70">
        <f t="shared" si="189"/>
        <v>7.4896960024746096E-13</v>
      </c>
      <c r="AB627" s="70">
        <f t="shared" si="190"/>
        <v>1.1108936969723597E-9</v>
      </c>
      <c r="AC627" s="70">
        <f>(($T$624*W627)*SQRT($R$12*U627))*(1-E66)</f>
        <v>3.5957280116819679E-8</v>
      </c>
      <c r="AD627" s="70">
        <f>(($T$625*X627)*SQRT($R$13*V627))*(1-F66)</f>
        <v>1.9434921512442463E-6</v>
      </c>
      <c r="AE627" s="70">
        <f>(($T$626*Y627)*SQRT($R$14*W627))*(1-G66)</f>
        <v>1.9563373604604648E-8</v>
      </c>
      <c r="AF627" s="70"/>
      <c r="AG627" s="70"/>
      <c r="AH627" s="70"/>
    </row>
    <row r="628" spans="19:34" x14ac:dyDescent="0.25">
      <c r="S628" s="116"/>
      <c r="T628" s="70">
        <f>+J43</f>
        <v>6.9343333333333354E-2</v>
      </c>
      <c r="U628" s="69">
        <f t="shared" si="183"/>
        <v>1.6649508181883247E-6</v>
      </c>
      <c r="V628" s="69">
        <f t="shared" si="184"/>
        <v>6.0631932618055578E-2</v>
      </c>
      <c r="W628" s="69">
        <f t="shared" si="185"/>
        <v>1.8651528335962096E-2</v>
      </c>
      <c r="X628" s="69">
        <f t="shared" si="186"/>
        <v>0.13657059835836591</v>
      </c>
      <c r="Y628" s="70">
        <f t="shared" si="187"/>
        <v>8.0230145445048164E-3</v>
      </c>
      <c r="Z628" s="70">
        <f t="shared" si="188"/>
        <v>8.1530401123568565E-4</v>
      </c>
      <c r="AA628" s="70">
        <f t="shared" si="189"/>
        <v>2.9486441340095245E-11</v>
      </c>
      <c r="AB628" s="70">
        <f t="shared" si="190"/>
        <v>8.2262447719144093E-6</v>
      </c>
      <c r="AC628" s="70">
        <f>(($T$624*W628)*SQRT($R$12*U628))*(1-E67)</f>
        <v>7.052351197223203E-9</v>
      </c>
      <c r="AD628" s="70">
        <f>(($T$625*X628)*SQRT($R$13*V628))*(1-F67)</f>
        <v>5.4327002463082293E-6</v>
      </c>
      <c r="AE628" s="70">
        <f>(($T$626*Y628)*SQRT($R$14*W628))*(1-G67)</f>
        <v>1.6771767339782694E-7</v>
      </c>
      <c r="AF628" s="70">
        <f>(($T$627*Z628)*SQRT($R$15*X628))*(1-H67)</f>
        <v>9.2028809779379226E-8</v>
      </c>
      <c r="AG628" s="70"/>
      <c r="AH628" s="70"/>
    </row>
    <row r="629" spans="19:34" x14ac:dyDescent="0.25">
      <c r="S629" s="116"/>
      <c r="T629" s="70">
        <f>L43</f>
        <v>5.5125000000000031E-4</v>
      </c>
      <c r="U629" s="69">
        <f t="shared" si="183"/>
        <v>1.4692830791511516E-8</v>
      </c>
      <c r="V629" s="69">
        <f t="shared" si="184"/>
        <v>4.8199807031250032E-4</v>
      </c>
      <c r="W629" s="69">
        <f t="shared" si="185"/>
        <v>8.5334097849090448E-2</v>
      </c>
      <c r="X629" s="69">
        <f t="shared" si="186"/>
        <v>0.29212000590355064</v>
      </c>
      <c r="Y629" s="70">
        <f t="shared" si="187"/>
        <v>1.2786164159174488E-4</v>
      </c>
      <c r="Z629" s="70">
        <f t="shared" si="188"/>
        <v>1.2993384057159689E-5</v>
      </c>
      <c r="AA629" s="70">
        <f t="shared" si="189"/>
        <v>2.5083540127262897E-13</v>
      </c>
      <c r="AB629" s="70">
        <f t="shared" si="190"/>
        <v>5.5827197934174103E-9</v>
      </c>
      <c r="AC629" s="70">
        <f>(($T$624*W629)*SQRT($R$12*U629))*(1-E68)</f>
        <v>2.9746073375093609E-9</v>
      </c>
      <c r="AD629" s="70">
        <f>(($T$625*X629)*SQRT($R$13*V629))*(1-F68)</f>
        <v>9.7605152642582251E-7</v>
      </c>
      <c r="AE629" s="70">
        <f>(($T$626*Y629)*SQRT($R$14*W629))*(1-G68)</f>
        <v>4.9186562223597521E-9</v>
      </c>
      <c r="AF629" s="70">
        <f>(($T$627*Z629)*SQRT($R$15*X629))*(1-H68)</f>
        <v>2.0920960190136875E-9</v>
      </c>
      <c r="AG629" s="70">
        <f>(($T$628*AA629)*SQRT($R$16*Y629))*(1-I68)</f>
        <v>5.2545487654206441E-17</v>
      </c>
      <c r="AH629" s="70"/>
    </row>
    <row r="630" spans="19:34" x14ac:dyDescent="0.25">
      <c r="S630" s="116"/>
      <c r="T630" s="130" t="s">
        <v>77</v>
      </c>
      <c r="U630" s="133">
        <f>SUM(U620:U629)</f>
        <v>2.7473226629575179E-5</v>
      </c>
      <c r="V630" s="108"/>
      <c r="W630" s="108"/>
      <c r="X630" s="108"/>
      <c r="Y630" s="70">
        <f>SUM(Y621:Y629)</f>
        <v>2.6380485181735282E-2</v>
      </c>
      <c r="Z630" s="70">
        <f t="shared" ref="Z630:AG630" si="191">SUM(Z621:Z629)</f>
        <v>1.0423414939788826E-3</v>
      </c>
      <c r="AA630" s="70">
        <f t="shared" si="191"/>
        <v>3.2697621760827858E-11</v>
      </c>
      <c r="AB630" s="70">
        <f t="shared" si="191"/>
        <v>8.2358686223157037E-6</v>
      </c>
      <c r="AC630" s="70">
        <f t="shared" si="191"/>
        <v>8.1371078160285024E-8</v>
      </c>
      <c r="AD630" s="70">
        <f t="shared" si="191"/>
        <v>9.5864091236571286E-6</v>
      </c>
      <c r="AE630" s="70">
        <f t="shared" si="191"/>
        <v>1.9219970322479134E-7</v>
      </c>
      <c r="AF630" s="70">
        <f t="shared" si="191"/>
        <v>9.4120905798392913E-8</v>
      </c>
      <c r="AG630" s="70">
        <f t="shared" si="191"/>
        <v>5.2545487654206441E-17</v>
      </c>
      <c r="AH630" s="130">
        <f>SUM(Y630:AG630)</f>
        <v>2.7441016677844994E-2</v>
      </c>
    </row>
    <row r="631" spans="19:34" x14ac:dyDescent="0.25">
      <c r="S631" s="116"/>
    </row>
    <row r="632" spans="19:34" x14ac:dyDescent="0.25">
      <c r="S632" s="116"/>
      <c r="T632" s="112" t="s">
        <v>99</v>
      </c>
      <c r="U632" s="108"/>
      <c r="V632" s="108"/>
      <c r="W632" s="108"/>
      <c r="X632" s="108"/>
      <c r="Y632" s="108"/>
      <c r="Z632" s="108"/>
      <c r="AA632" s="108"/>
      <c r="AB632" s="108"/>
    </row>
    <row r="633" spans="19:34" x14ac:dyDescent="0.25">
      <c r="S633" s="116"/>
      <c r="T633" s="137" t="s">
        <v>100</v>
      </c>
      <c r="U633" s="138">
        <f>+AH630</f>
        <v>2.7441016677844994E-2</v>
      </c>
      <c r="V633" s="138" t="s">
        <v>101</v>
      </c>
      <c r="W633" s="139"/>
      <c r="X633" s="108"/>
      <c r="Y633" s="108"/>
      <c r="Z633" s="108"/>
      <c r="AA633" s="108"/>
      <c r="AB633" s="108"/>
    </row>
    <row r="634" spans="19:34" x14ac:dyDescent="0.25">
      <c r="S634" s="116"/>
      <c r="T634" s="137" t="s">
        <v>103</v>
      </c>
      <c r="U634" s="138">
        <f>+U630</f>
        <v>2.7473226629575179E-5</v>
      </c>
      <c r="V634" s="138" t="s">
        <v>101</v>
      </c>
      <c r="W634" s="108"/>
      <c r="X634" s="108"/>
      <c r="Y634" s="108"/>
      <c r="Z634" s="140" t="e">
        <f>(U638*U638)+(2*U634*U638)-(U634*U634)</f>
        <v>#DIV/0!</v>
      </c>
      <c r="AA634" s="108"/>
      <c r="AB634" s="108"/>
    </row>
    <row r="635" spans="19:34" x14ac:dyDescent="0.25">
      <c r="S635" s="116"/>
      <c r="T635" s="137" t="s">
        <v>104</v>
      </c>
      <c r="U635" s="138">
        <v>8.3145100000000003</v>
      </c>
      <c r="V635" s="138" t="s">
        <v>105</v>
      </c>
      <c r="W635" s="108"/>
      <c r="X635" s="108"/>
      <c r="Y635" s="108"/>
      <c r="Z635" s="140"/>
      <c r="AA635" s="108"/>
      <c r="AB635" s="108"/>
    </row>
    <row r="636" spans="19:34" x14ac:dyDescent="0.25">
      <c r="S636" s="116"/>
      <c r="T636" s="137" t="s">
        <v>106</v>
      </c>
      <c r="U636" s="141">
        <f>B43*98066.5</f>
        <v>0</v>
      </c>
      <c r="V636" s="142" t="s">
        <v>107</v>
      </c>
      <c r="W636" s="108"/>
      <c r="X636" s="108"/>
      <c r="Y636" s="108"/>
      <c r="Z636" s="140" t="e">
        <f>U633/Z634</f>
        <v>#DIV/0!</v>
      </c>
      <c r="AA636" s="108"/>
      <c r="AB636" s="108"/>
    </row>
    <row r="637" spans="19:34" x14ac:dyDescent="0.25">
      <c r="S637" s="116"/>
      <c r="T637" s="137" t="s">
        <v>108</v>
      </c>
      <c r="U637" s="141" t="s">
        <v>109</v>
      </c>
      <c r="V637" s="138" t="s">
        <v>110</v>
      </c>
      <c r="W637" s="108"/>
      <c r="X637" s="108"/>
      <c r="Y637" s="108"/>
      <c r="Z637" s="140"/>
      <c r="AA637" s="108"/>
      <c r="AB637" s="108"/>
    </row>
    <row r="638" spans="19:34" x14ac:dyDescent="0.25">
      <c r="S638" s="116"/>
      <c r="T638" s="137" t="s">
        <v>112</v>
      </c>
      <c r="U638" s="138" t="e">
        <f>+U646</f>
        <v>#DIV/0!</v>
      </c>
      <c r="V638" s="138" t="s">
        <v>113</v>
      </c>
      <c r="W638" s="108"/>
      <c r="X638" s="108"/>
      <c r="Y638" s="108"/>
      <c r="Z638" s="140" t="e">
        <f>U638-U634</f>
        <v>#DIV/0!</v>
      </c>
      <c r="AA638" s="108"/>
      <c r="AB638" s="108"/>
    </row>
    <row r="639" spans="19:34" x14ac:dyDescent="0.25">
      <c r="S639" s="116"/>
      <c r="T639" s="108"/>
      <c r="U639" s="108"/>
      <c r="V639" s="108"/>
      <c r="W639" s="108"/>
      <c r="X639" s="108"/>
      <c r="Y639" s="108"/>
      <c r="Z639" s="108"/>
      <c r="AA639" s="108"/>
      <c r="AB639" s="108"/>
    </row>
    <row r="640" spans="19:34" x14ac:dyDescent="0.25">
      <c r="S640" s="116"/>
      <c r="T640" s="108"/>
      <c r="U640" s="108"/>
      <c r="V640" s="108"/>
      <c r="W640" s="108"/>
      <c r="X640" s="108"/>
      <c r="Y640" s="108"/>
      <c r="Z640" s="108"/>
      <c r="AA640" s="108"/>
      <c r="AB640" s="108"/>
    </row>
    <row r="641" spans="19:34" x14ac:dyDescent="0.25">
      <c r="S641" s="116"/>
      <c r="T641" s="108"/>
      <c r="U641" s="108"/>
      <c r="V641" s="108"/>
      <c r="W641" s="108"/>
      <c r="X641" s="108"/>
      <c r="Y641" s="108"/>
      <c r="Z641" s="108"/>
      <c r="AA641" s="108"/>
      <c r="AB641" s="108"/>
    </row>
    <row r="642" spans="19:34" x14ac:dyDescent="0.25">
      <c r="S642" s="116"/>
      <c r="T642" s="108" t="s">
        <v>116</v>
      </c>
      <c r="U642" s="108">
        <v>0.98</v>
      </c>
      <c r="V642" s="108"/>
      <c r="W642" s="108"/>
      <c r="X642" s="108"/>
      <c r="Y642" s="108"/>
      <c r="Z642" s="108"/>
      <c r="AA642" s="108"/>
      <c r="AB642" s="108"/>
    </row>
    <row r="643" spans="19:34" x14ac:dyDescent="0.25">
      <c r="S643" s="116"/>
      <c r="T643" s="108" t="s">
        <v>106</v>
      </c>
      <c r="U643" s="143">
        <f>U636</f>
        <v>0</v>
      </c>
      <c r="V643" s="108" t="s">
        <v>117</v>
      </c>
      <c r="W643" s="108"/>
      <c r="X643" s="108"/>
      <c r="Y643" s="108"/>
      <c r="Z643" s="108"/>
      <c r="AA643" s="108"/>
      <c r="AB643" s="108"/>
    </row>
    <row r="644" spans="19:34" x14ac:dyDescent="0.25">
      <c r="S644" s="116"/>
      <c r="T644" s="108" t="s">
        <v>118</v>
      </c>
      <c r="U644" s="143">
        <f>C43+273.15</f>
        <v>273.14999999999998</v>
      </c>
      <c r="V644" s="108" t="s">
        <v>49</v>
      </c>
      <c r="W644" s="108"/>
      <c r="X644" s="108"/>
      <c r="Y644" s="108"/>
      <c r="Z644" s="108"/>
      <c r="AA644" s="108"/>
      <c r="AB644" s="108"/>
    </row>
    <row r="645" spans="19:34" x14ac:dyDescent="0.25">
      <c r="S645" s="116"/>
      <c r="T645" s="108"/>
      <c r="U645" s="108"/>
      <c r="V645" s="108"/>
      <c r="W645" s="108"/>
      <c r="X645" s="108"/>
      <c r="Y645" s="108"/>
      <c r="Z645" s="108"/>
      <c r="AA645" s="108"/>
      <c r="AB645" s="108"/>
    </row>
    <row r="646" spans="19:34" x14ac:dyDescent="0.25">
      <c r="S646" s="116"/>
      <c r="T646" s="108" t="s">
        <v>121</v>
      </c>
      <c r="U646" s="108" t="e">
        <f>(0.98*U635*U644)/U643</f>
        <v>#DIV/0!</v>
      </c>
      <c r="V646" s="108" t="s">
        <v>113</v>
      </c>
      <c r="W646" s="108"/>
      <c r="X646" s="108"/>
      <c r="Y646" s="108"/>
      <c r="Z646" s="108"/>
      <c r="AA646" s="108"/>
      <c r="AB646" s="108"/>
    </row>
    <row r="647" spans="19:34" x14ac:dyDescent="0.25"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</row>
    <row r="648" spans="19:34" ht="15.75" thickBot="1" x14ac:dyDescent="0.3">
      <c r="S648" s="116"/>
      <c r="T648" s="116"/>
      <c r="U648" s="116"/>
      <c r="V648" s="179"/>
      <c r="W648" s="179"/>
      <c r="X648" s="179"/>
      <c r="Y648" s="179"/>
      <c r="Z648" s="179"/>
      <c r="AA648" s="179"/>
      <c r="AB648" s="179"/>
      <c r="AC648" s="179"/>
      <c r="AD648" s="179"/>
      <c r="AE648" s="179"/>
      <c r="AF648" s="179"/>
      <c r="AG648" s="179"/>
      <c r="AH648" s="179"/>
    </row>
    <row r="649" spans="19:34" ht="15.75" thickBot="1" x14ac:dyDescent="0.3">
      <c r="S649" s="116"/>
      <c r="V649" s="162" t="s">
        <v>60</v>
      </c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4"/>
    </row>
    <row r="650" spans="19:34" x14ac:dyDescent="0.25">
      <c r="S650" s="116"/>
      <c r="Y650" s="175" t="s">
        <v>63</v>
      </c>
      <c r="Z650" s="175"/>
      <c r="AA650" s="175"/>
      <c r="AB650" s="175"/>
      <c r="AC650" s="175"/>
      <c r="AD650" s="175"/>
      <c r="AE650" s="175"/>
      <c r="AF650" s="175"/>
      <c r="AG650" s="175"/>
      <c r="AH650" s="175"/>
    </row>
    <row r="651" spans="19:34" ht="17.25" x14ac:dyDescent="0.25">
      <c r="S651" s="116">
        <v>21</v>
      </c>
      <c r="T651" s="70" t="s">
        <v>76</v>
      </c>
      <c r="U651" s="130" t="s">
        <v>77</v>
      </c>
      <c r="V651" s="70" t="s">
        <v>78</v>
      </c>
      <c r="W651" s="70" t="s">
        <v>79</v>
      </c>
      <c r="X651" s="70" t="s">
        <v>80</v>
      </c>
      <c r="Y651" s="131" t="s">
        <v>30</v>
      </c>
      <c r="Z651" s="131" t="s">
        <v>32</v>
      </c>
      <c r="AA651" s="131" t="s">
        <v>81</v>
      </c>
      <c r="AB651" s="131" t="s">
        <v>25</v>
      </c>
      <c r="AC651" s="131" t="s">
        <v>26</v>
      </c>
      <c r="AD651" s="131" t="s">
        <v>27</v>
      </c>
      <c r="AE651" s="131" t="s">
        <v>28</v>
      </c>
      <c r="AF651" s="131" t="s">
        <v>82</v>
      </c>
      <c r="AG651" s="131" t="s">
        <v>29</v>
      </c>
      <c r="AH651" s="132" t="s">
        <v>31</v>
      </c>
    </row>
    <row r="652" spans="19:34" x14ac:dyDescent="0.25">
      <c r="S652" s="116"/>
      <c r="T652" s="70">
        <f>K44</f>
        <v>0.86403958333333319</v>
      </c>
      <c r="U652" s="69">
        <f>+S8*T652</f>
        <v>2.3158916151850019E-5</v>
      </c>
      <c r="V652" s="69">
        <f>$T$652*T652</f>
        <v>0.74656440156684001</v>
      </c>
      <c r="W652" s="69">
        <f>$R$8*R8</f>
        <v>4.2845172623208805E-2</v>
      </c>
      <c r="X652" s="69">
        <f>SQRT(W652)</f>
        <v>0.20699075492207086</v>
      </c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</row>
    <row r="653" spans="19:34" x14ac:dyDescent="0.25">
      <c r="S653" s="116"/>
      <c r="T653" s="70">
        <f>M44</f>
        <v>5.8191250000000007E-2</v>
      </c>
      <c r="U653" s="69">
        <f t="shared" ref="U653:U661" si="192">+S9*T653</f>
        <v>2.3589672817756264E-6</v>
      </c>
      <c r="V653" s="69">
        <f t="shared" ref="V653:V661" si="193">$T$652*T653</f>
        <v>5.0279543403645828E-2</v>
      </c>
      <c r="W653" s="69">
        <f t="shared" ref="W653:W661" si="194">$R$8*R9</f>
        <v>0.12918986849197683</v>
      </c>
      <c r="X653" s="69">
        <f t="shared" ref="X653:X661" si="195">SQRT(W653)</f>
        <v>0.35942992153127268</v>
      </c>
      <c r="Y653" s="70">
        <f t="shared" ref="Y653:Y661" si="196">(($T$652*T653)*SQRT($R$8*R9))*(1-B60)</f>
        <v>1.8118959468285158E-2</v>
      </c>
      <c r="Z653" s="70"/>
      <c r="AA653" s="70"/>
      <c r="AB653" s="70"/>
      <c r="AC653" s="70"/>
      <c r="AD653" s="70"/>
      <c r="AE653" s="70"/>
      <c r="AF653" s="70"/>
      <c r="AG653" s="70"/>
      <c r="AH653" s="70"/>
    </row>
    <row r="654" spans="19:34" x14ac:dyDescent="0.25">
      <c r="S654" s="116"/>
      <c r="T654" s="70">
        <f>+E44</f>
        <v>4.0979166666666672E-3</v>
      </c>
      <c r="U654" s="69">
        <f t="shared" si="192"/>
        <v>2.3077938355084039E-7</v>
      </c>
      <c r="V654" s="69">
        <f t="shared" si="193"/>
        <v>3.5407622092013887E-3</v>
      </c>
      <c r="W654" s="69">
        <f t="shared" si="194"/>
        <v>0.24193902239770376</v>
      </c>
      <c r="X654" s="69">
        <f t="shared" si="195"/>
        <v>0.49187297384355622</v>
      </c>
      <c r="Y654" s="70">
        <f t="shared" si="196"/>
        <v>1.7172227641875882E-3</v>
      </c>
      <c r="Z654" s="70">
        <f t="shared" ref="Z654:Z661" si="197">(($T$653*T654)*SQRT($R$9*R10))*(1-B61)</f>
        <v>2.0082323751128284E-4</v>
      </c>
      <c r="AA654" s="70"/>
      <c r="AB654" s="70"/>
      <c r="AC654" s="70"/>
      <c r="AD654" s="70"/>
      <c r="AE654" s="70"/>
      <c r="AF654" s="70"/>
      <c r="AG654" s="70"/>
      <c r="AH654" s="70"/>
    </row>
    <row r="655" spans="19:34" x14ac:dyDescent="0.25">
      <c r="S655" s="116"/>
      <c r="T655" s="70">
        <f>+G44</f>
        <v>3.2291666666666683E-4</v>
      </c>
      <c r="U655" s="69">
        <f t="shared" si="192"/>
        <v>2.3393330204700572E-8</v>
      </c>
      <c r="V655" s="69">
        <f t="shared" si="193"/>
        <v>2.7901278211805563E-4</v>
      </c>
      <c r="W655" s="69">
        <f t="shared" si="194"/>
        <v>0.39059496580954223</v>
      </c>
      <c r="X655" s="69">
        <f t="shared" si="195"/>
        <v>0.62497597218576506</v>
      </c>
      <c r="Y655" s="70">
        <f t="shared" si="196"/>
        <v>1.6991225186672079E-4</v>
      </c>
      <c r="Z655" s="70">
        <f t="shared" si="197"/>
        <v>1.9870647666874214E-5</v>
      </c>
      <c r="AA655" s="70">
        <f t="shared" ref="AA655:AA661" si="198">(($T$654*U655)*SQRT($R$10*S11))*(1-C62)</f>
        <v>8.8804203603153498E-13</v>
      </c>
      <c r="AB655" s="70"/>
      <c r="AC655" s="70"/>
      <c r="AD655" s="70"/>
      <c r="AE655" s="70"/>
      <c r="AF655" s="70"/>
      <c r="AG655" s="70"/>
      <c r="AH655" s="70"/>
    </row>
    <row r="656" spans="19:34" x14ac:dyDescent="0.25">
      <c r="S656" s="116"/>
      <c r="T656" s="70">
        <f>+F44</f>
        <v>2.0375000000000007E-4</v>
      </c>
      <c r="U656" s="69">
        <f t="shared" si="192"/>
        <v>1.4765892835538876E-8</v>
      </c>
      <c r="V656" s="69">
        <f t="shared" si="193"/>
        <v>1.7604806510416671E-4</v>
      </c>
      <c r="W656" s="69">
        <f t="shared" si="194"/>
        <v>0.36453710099529019</v>
      </c>
      <c r="X656" s="69">
        <f t="shared" si="195"/>
        <v>0.60376907919774281</v>
      </c>
      <c r="Y656" s="70">
        <f t="shared" si="196"/>
        <v>1.0487868953292594E-4</v>
      </c>
      <c r="Z656" s="70">
        <f t="shared" si="197"/>
        <v>1.2265198445530316E-5</v>
      </c>
      <c r="AA656" s="70">
        <f t="shared" si="198"/>
        <v>5.515590314228162E-13</v>
      </c>
      <c r="AB656" s="70">
        <f t="shared" ref="AB656:AB661" si="199">(($T$655*V656)*SQRT($R$11*T656))*(1-D63)</f>
        <v>1.1110224394733209E-9</v>
      </c>
      <c r="AC656" s="70"/>
      <c r="AD656" s="70"/>
      <c r="AE656" s="70"/>
      <c r="AF656" s="70"/>
      <c r="AG656" s="70"/>
      <c r="AH656" s="70"/>
    </row>
    <row r="657" spans="19:34" x14ac:dyDescent="0.25">
      <c r="S657" s="116"/>
      <c r="T657" s="70">
        <f>+I44</f>
        <v>9.333333333333337E-5</v>
      </c>
      <c r="U657" s="69">
        <f t="shared" si="192"/>
        <v>8.4147979583628114E-9</v>
      </c>
      <c r="V657" s="69">
        <f t="shared" si="193"/>
        <v>8.0643694444444461E-5</v>
      </c>
      <c r="W657" s="69">
        <f t="shared" si="194"/>
        <v>0.57891172563229198</v>
      </c>
      <c r="X657" s="69">
        <f t="shared" si="195"/>
        <v>0.76086248799128742</v>
      </c>
      <c r="Y657" s="70">
        <f t="shared" si="196"/>
        <v>6.1702371062985703E-5</v>
      </c>
      <c r="Z657" s="70">
        <f t="shared" si="197"/>
        <v>7.2158779730907827E-6</v>
      </c>
      <c r="AA657" s="70">
        <f t="shared" si="198"/>
        <v>3.5398736436085995E-13</v>
      </c>
      <c r="AB657" s="70">
        <f t="shared" si="199"/>
        <v>3.4175862835665363E-10</v>
      </c>
      <c r="AC657" s="70">
        <f>(($T$656*W657)*SQRT($R$12*U657))*(1-E64)</f>
        <v>1.435909945319405E-8</v>
      </c>
      <c r="AD657" s="70"/>
      <c r="AE657" s="70"/>
      <c r="AF657" s="70"/>
      <c r="AG657" s="70"/>
      <c r="AH657" s="70"/>
    </row>
    <row r="658" spans="19:34" x14ac:dyDescent="0.25">
      <c r="S658" s="116"/>
      <c r="T658" s="70">
        <f>+H44</f>
        <v>9.333333333333337E-5</v>
      </c>
      <c r="U658" s="69">
        <f t="shared" si="192"/>
        <v>8.2237831164433928E-9</v>
      </c>
      <c r="V658" s="69">
        <f t="shared" si="193"/>
        <v>8.0643694444444461E-5</v>
      </c>
      <c r="W658" s="69">
        <f t="shared" si="194"/>
        <v>0.54235185847350886</v>
      </c>
      <c r="X658" s="69">
        <f t="shared" si="195"/>
        <v>0.73644542124553181</v>
      </c>
      <c r="Y658" s="70">
        <f t="shared" si="196"/>
        <v>5.8023716896838351E-5</v>
      </c>
      <c r="Z658" s="70">
        <f t="shared" si="197"/>
        <v>6.7856721461376417E-6</v>
      </c>
      <c r="AA658" s="70">
        <f t="shared" si="198"/>
        <v>3.3933520274939654E-13</v>
      </c>
      <c r="AB658" s="70">
        <f t="shared" si="199"/>
        <v>3.3636735057086767E-10</v>
      </c>
      <c r="AC658" s="70">
        <f>(($T$656*W658)*SQRT($R$12*U658))*(1-E65)</f>
        <v>1.3298723844810475E-8</v>
      </c>
      <c r="AD658" s="70">
        <f>(($T$657*X658)*SQRT($R$13*V658))*(1-F65)</f>
        <v>1.0322698657578625E-6</v>
      </c>
      <c r="AE658" s="70"/>
      <c r="AF658" s="70"/>
      <c r="AG658" s="70"/>
      <c r="AH658" s="70"/>
    </row>
    <row r="659" spans="19:34" x14ac:dyDescent="0.25">
      <c r="S659" s="116"/>
      <c r="T659" s="70">
        <f>+D44</f>
        <v>1.7958333333333341E-4</v>
      </c>
      <c r="U659" s="69">
        <f t="shared" si="192"/>
        <v>1.9492992686746122E-8</v>
      </c>
      <c r="V659" s="69">
        <f t="shared" si="193"/>
        <v>1.5516710850694448E-4</v>
      </c>
      <c r="W659" s="69">
        <f t="shared" si="194"/>
        <v>0.8050809492880614</v>
      </c>
      <c r="X659" s="69">
        <f t="shared" si="195"/>
        <v>0.89726303238685889</v>
      </c>
      <c r="Y659" s="70">
        <f t="shared" si="196"/>
        <v>1.3335038533074367E-4</v>
      </c>
      <c r="Z659" s="70">
        <f t="shared" si="197"/>
        <v>1.5594864372862233E-5</v>
      </c>
      <c r="AA659" s="70">
        <f t="shared" si="198"/>
        <v>9.0875486399572695E-13</v>
      </c>
      <c r="AB659" s="70">
        <f t="shared" si="199"/>
        <v>9.217366925192103E-10</v>
      </c>
      <c r="AC659" s="70">
        <f>(($T$656*W659)*SQRT($R$12*U659))*(1-E66)</f>
        <v>3.0392877586128631E-8</v>
      </c>
      <c r="AD659" s="70">
        <f>(($T$657*X659)*SQRT($R$13*V659))*(1-F66)</f>
        <v>1.7543342764044715E-6</v>
      </c>
      <c r="AE659" s="70">
        <f>(($T$658*Y659)*SQRT($R$14*W659))*(1-G66)</f>
        <v>1.8076565480883339E-8</v>
      </c>
      <c r="AF659" s="70"/>
      <c r="AG659" s="70"/>
      <c r="AH659" s="70"/>
    </row>
    <row r="660" spans="19:34" x14ac:dyDescent="0.25">
      <c r="S660" s="116"/>
      <c r="T660" s="70">
        <f>+J44</f>
        <v>7.2340416666666657E-2</v>
      </c>
      <c r="U660" s="69">
        <f t="shared" si="192"/>
        <v>1.7369115404112523E-6</v>
      </c>
      <c r="V660" s="69">
        <f t="shared" si="193"/>
        <v>6.2504983474826373E-2</v>
      </c>
      <c r="W660" s="69">
        <f t="shared" si="194"/>
        <v>1.8651528335962096E-2</v>
      </c>
      <c r="X660" s="69">
        <f t="shared" si="195"/>
        <v>0.13657059835836591</v>
      </c>
      <c r="Y660" s="70">
        <f t="shared" si="196"/>
        <v>8.2708627264378165E-3</v>
      </c>
      <c r="Z660" s="70">
        <f t="shared" si="197"/>
        <v>9.6724866707694835E-4</v>
      </c>
      <c r="AA660" s="70">
        <f t="shared" si="198"/>
        <v>3.576465107843159E-11</v>
      </c>
      <c r="AB660" s="70">
        <f t="shared" si="199"/>
        <v>6.8219669475268432E-6</v>
      </c>
      <c r="AC660" s="70">
        <f>(($T$656*W660)*SQRT($R$12*U660))*(1-E67)</f>
        <v>5.9599615154482533E-9</v>
      </c>
      <c r="AD660" s="70">
        <f>(($T$657*X660)*SQRT($R$13*V660))*(1-F67)</f>
        <v>4.9030896861774278E-6</v>
      </c>
      <c r="AE660" s="70">
        <f>(($T$658*Y660)*SQRT($R$14*W660))*(1-G67)</f>
        <v>1.5491735454490455E-7</v>
      </c>
      <c r="AF660" s="70">
        <f>(($T$659*Z660)*SQRT($R$15*X660))*(1-H67)</f>
        <v>1.1393826046990516E-7</v>
      </c>
      <c r="AG660" s="70"/>
      <c r="AH660" s="70"/>
    </row>
    <row r="661" spans="19:34" x14ac:dyDescent="0.25">
      <c r="S661" s="116"/>
      <c r="T661" s="70">
        <f>L44</f>
        <v>4.3958333333333344E-4</v>
      </c>
      <c r="U661" s="69">
        <f t="shared" si="192"/>
        <v>1.1716505279701166E-8</v>
      </c>
      <c r="V661" s="69">
        <f t="shared" si="193"/>
        <v>3.7981740017361117E-4</v>
      </c>
      <c r="W661" s="69">
        <f t="shared" si="194"/>
        <v>8.5334097849090448E-2</v>
      </c>
      <c r="X661" s="69">
        <f t="shared" si="195"/>
        <v>0.29212000590355064</v>
      </c>
      <c r="Y661" s="70">
        <f t="shared" si="196"/>
        <v>1.0075574837845389E-4</v>
      </c>
      <c r="Z661" s="70">
        <f t="shared" si="197"/>
        <v>1.1783034798520137E-5</v>
      </c>
      <c r="AA661" s="70">
        <f t="shared" si="198"/>
        <v>2.325609456515655E-13</v>
      </c>
      <c r="AB661" s="70">
        <f t="shared" si="199"/>
        <v>3.0940569229980465E-9</v>
      </c>
      <c r="AC661" s="70">
        <f>(($T$656*W661)*SQRT($R$12*U661))*(1-E68)</f>
        <v>2.1978463649050422E-9</v>
      </c>
      <c r="AD661" s="70">
        <f>(($T$657*X661)*SQRT($R$13*V661))*(1-F68)</f>
        <v>7.7016716851148092E-7</v>
      </c>
      <c r="AE661" s="70">
        <f>(($T$658*Y661)*SQRT($R$14*W661))*(1-G68)</f>
        <v>3.4728340943187457E-9</v>
      </c>
      <c r="AF661" s="70">
        <f>(($T$659*Z661)*SQRT($R$15*X661))*(1-H68)</f>
        <v>1.9799021004214651E-9</v>
      </c>
      <c r="AG661" s="70">
        <f>(($T$660*AA661)*SQRT($R$16*Y661))*(1-I68)</f>
        <v>4.5115362554495568E-17</v>
      </c>
      <c r="AH661" s="70"/>
    </row>
    <row r="662" spans="19:34" x14ac:dyDescent="0.25">
      <c r="S662" s="116"/>
      <c r="T662" s="130" t="s">
        <v>77</v>
      </c>
      <c r="U662" s="133">
        <f>SUM(U652:U661)</f>
        <v>2.7571581659669232E-5</v>
      </c>
      <c r="V662" s="108"/>
      <c r="W662" s="108"/>
      <c r="X662" s="108"/>
      <c r="Y662" s="70">
        <f>SUM(Y653:Y661)</f>
        <v>2.8735668121979231E-2</v>
      </c>
      <c r="Z662" s="70">
        <f t="shared" ref="Z662:AG662" si="200">SUM(Z653:Z661)</f>
        <v>1.2415871999912466E-3</v>
      </c>
      <c r="AA662" s="70">
        <f t="shared" si="200"/>
        <v>3.9038890522643492E-11</v>
      </c>
      <c r="AB662" s="70">
        <f t="shared" si="200"/>
        <v>6.8277718895607613E-6</v>
      </c>
      <c r="AC662" s="70">
        <f t="shared" si="200"/>
        <v>6.6208508764486446E-8</v>
      </c>
      <c r="AD662" s="70">
        <f t="shared" si="200"/>
        <v>8.4598609968512415E-6</v>
      </c>
      <c r="AE662" s="70">
        <f t="shared" si="200"/>
        <v>1.7646675412010662E-7</v>
      </c>
      <c r="AF662" s="70">
        <f t="shared" si="200"/>
        <v>1.1591816257032663E-7</v>
      </c>
      <c r="AG662" s="70">
        <f t="shared" si="200"/>
        <v>4.5115362554495568E-17</v>
      </c>
      <c r="AH662" s="130">
        <f>SUM(Y662:AG662)</f>
        <v>2.9992901587321281E-2</v>
      </c>
    </row>
    <row r="663" spans="19:34" x14ac:dyDescent="0.25">
      <c r="S663" s="116"/>
    </row>
    <row r="664" spans="19:34" x14ac:dyDescent="0.25">
      <c r="S664" s="116"/>
      <c r="T664" s="112" t="s">
        <v>99</v>
      </c>
      <c r="U664" s="108"/>
      <c r="V664" s="108"/>
      <c r="W664" s="108"/>
      <c r="X664" s="108"/>
      <c r="Y664" s="108"/>
      <c r="Z664" s="108"/>
      <c r="AA664" s="108"/>
      <c r="AB664" s="108"/>
    </row>
    <row r="665" spans="19:34" x14ac:dyDescent="0.25">
      <c r="S665" s="116"/>
      <c r="T665" s="137" t="s">
        <v>100</v>
      </c>
      <c r="U665" s="138">
        <f>+AH662</f>
        <v>2.9992901587321281E-2</v>
      </c>
      <c r="V665" s="138" t="s">
        <v>101</v>
      </c>
      <c r="W665" s="139"/>
      <c r="X665" s="108"/>
      <c r="Y665" s="108"/>
      <c r="Z665" s="108"/>
      <c r="AA665" s="108"/>
      <c r="AB665" s="108"/>
    </row>
    <row r="666" spans="19:34" x14ac:dyDescent="0.25">
      <c r="S666" s="116"/>
      <c r="T666" s="137" t="s">
        <v>103</v>
      </c>
      <c r="U666" s="138">
        <f>+U662</f>
        <v>2.7571581659669232E-5</v>
      </c>
      <c r="V666" s="138" t="s">
        <v>101</v>
      </c>
      <c r="W666" s="108"/>
      <c r="X666" s="108"/>
      <c r="Y666" s="108"/>
      <c r="Z666" s="140" t="e">
        <f>(U670*U670)+(2*U666*U670)-(U666*U666)</f>
        <v>#DIV/0!</v>
      </c>
      <c r="AA666" s="108"/>
      <c r="AB666" s="108"/>
    </row>
    <row r="667" spans="19:34" x14ac:dyDescent="0.25">
      <c r="S667" s="116"/>
      <c r="T667" s="137" t="s">
        <v>104</v>
      </c>
      <c r="U667" s="138">
        <v>8.3145100000000003</v>
      </c>
      <c r="V667" s="138" t="s">
        <v>105</v>
      </c>
      <c r="W667" s="108"/>
      <c r="X667" s="108"/>
      <c r="Y667" s="108"/>
      <c r="Z667" s="140"/>
      <c r="AA667" s="108"/>
      <c r="AB667" s="108"/>
    </row>
    <row r="668" spans="19:34" x14ac:dyDescent="0.25">
      <c r="S668" s="116"/>
      <c r="T668" s="137" t="s">
        <v>106</v>
      </c>
      <c r="U668" s="141">
        <f>B44*98066.5</f>
        <v>0</v>
      </c>
      <c r="V668" s="142" t="s">
        <v>107</v>
      </c>
      <c r="W668" s="108"/>
      <c r="X668" s="108"/>
      <c r="Y668" s="108"/>
      <c r="Z668" s="140" t="e">
        <f>U665/Z666</f>
        <v>#DIV/0!</v>
      </c>
      <c r="AA668" s="108"/>
      <c r="AB668" s="108"/>
    </row>
    <row r="669" spans="19:34" x14ac:dyDescent="0.25">
      <c r="S669" s="116"/>
      <c r="T669" s="137" t="s">
        <v>108</v>
      </c>
      <c r="U669" s="141" t="s">
        <v>109</v>
      </c>
      <c r="V669" s="138" t="s">
        <v>110</v>
      </c>
      <c r="W669" s="108"/>
      <c r="X669" s="108"/>
      <c r="Y669" s="108"/>
      <c r="Z669" s="140"/>
      <c r="AA669" s="108"/>
      <c r="AB669" s="108"/>
    </row>
    <row r="670" spans="19:34" x14ac:dyDescent="0.25">
      <c r="S670" s="116"/>
      <c r="T670" s="137" t="s">
        <v>112</v>
      </c>
      <c r="U670" s="138" t="e">
        <f>+U678</f>
        <v>#DIV/0!</v>
      </c>
      <c r="V670" s="138" t="s">
        <v>113</v>
      </c>
      <c r="W670" s="108"/>
      <c r="X670" s="108"/>
      <c r="Y670" s="108"/>
      <c r="Z670" s="140" t="e">
        <f>U670-U666</f>
        <v>#DIV/0!</v>
      </c>
      <c r="AA670" s="108"/>
      <c r="AB670" s="108"/>
    </row>
    <row r="671" spans="19:34" x14ac:dyDescent="0.25">
      <c r="S671" s="116"/>
      <c r="T671" s="108"/>
      <c r="U671" s="108"/>
      <c r="V671" s="108"/>
      <c r="W671" s="108"/>
      <c r="X671" s="108"/>
      <c r="Y671" s="108"/>
      <c r="Z671" s="108"/>
      <c r="AA671" s="108"/>
      <c r="AB671" s="108"/>
    </row>
    <row r="672" spans="19:34" x14ac:dyDescent="0.25">
      <c r="S672" s="116"/>
      <c r="T672" s="108"/>
      <c r="U672" s="108"/>
      <c r="V672" s="108"/>
      <c r="W672" s="108"/>
      <c r="X672" s="108"/>
      <c r="Y672" s="108"/>
      <c r="Z672" s="108"/>
      <c r="AA672" s="108"/>
      <c r="AB672" s="108"/>
    </row>
    <row r="673" spans="19:34" x14ac:dyDescent="0.25">
      <c r="S673" s="116"/>
      <c r="T673" s="108"/>
      <c r="U673" s="108"/>
      <c r="V673" s="108"/>
      <c r="W673" s="108"/>
      <c r="X673" s="108"/>
      <c r="Y673" s="108"/>
      <c r="Z673" s="108"/>
      <c r="AA673" s="108"/>
      <c r="AB673" s="108"/>
    </row>
    <row r="674" spans="19:34" x14ac:dyDescent="0.25">
      <c r="S674" s="116"/>
      <c r="T674" s="108" t="s">
        <v>116</v>
      </c>
      <c r="U674" s="108">
        <v>0.98</v>
      </c>
      <c r="V674" s="108"/>
      <c r="W674" s="108"/>
      <c r="X674" s="108"/>
      <c r="Y674" s="108"/>
      <c r="Z674" s="108"/>
      <c r="AA674" s="108"/>
      <c r="AB674" s="108"/>
    </row>
    <row r="675" spans="19:34" x14ac:dyDescent="0.25">
      <c r="S675" s="116"/>
      <c r="T675" s="108" t="s">
        <v>106</v>
      </c>
      <c r="U675" s="143">
        <f>U668</f>
        <v>0</v>
      </c>
      <c r="V675" s="108" t="s">
        <v>117</v>
      </c>
      <c r="W675" s="108"/>
      <c r="X675" s="108"/>
      <c r="Y675" s="108"/>
      <c r="Z675" s="108"/>
      <c r="AA675" s="108"/>
      <c r="AB675" s="108"/>
    </row>
    <row r="676" spans="19:34" x14ac:dyDescent="0.25">
      <c r="S676" s="116"/>
      <c r="T676" s="108" t="s">
        <v>118</v>
      </c>
      <c r="U676" s="143">
        <f>C44+273.15</f>
        <v>273.14999999999998</v>
      </c>
      <c r="V676" s="108" t="s">
        <v>49</v>
      </c>
      <c r="W676" s="108"/>
      <c r="X676" s="108"/>
      <c r="Y676" s="108"/>
      <c r="Z676" s="108"/>
      <c r="AA676" s="108"/>
      <c r="AB676" s="108"/>
    </row>
    <row r="677" spans="19:34" x14ac:dyDescent="0.25">
      <c r="S677" s="116"/>
      <c r="T677" s="108"/>
      <c r="U677" s="108"/>
      <c r="V677" s="108"/>
      <c r="W677" s="108"/>
      <c r="X677" s="108"/>
      <c r="Y677" s="108"/>
      <c r="Z677" s="108"/>
      <c r="AA677" s="108"/>
      <c r="AB677" s="108"/>
    </row>
    <row r="678" spans="19:34" x14ac:dyDescent="0.25">
      <c r="S678" s="116"/>
      <c r="T678" s="108" t="s">
        <v>121</v>
      </c>
      <c r="U678" s="108" t="e">
        <f>(0.98*U667*U676)/U675</f>
        <v>#DIV/0!</v>
      </c>
      <c r="V678" s="108" t="s">
        <v>113</v>
      </c>
      <c r="W678" s="108"/>
      <c r="X678" s="108"/>
      <c r="Y678" s="108"/>
      <c r="Z678" s="108"/>
      <c r="AA678" s="108"/>
      <c r="AB678" s="108"/>
    </row>
    <row r="679" spans="19:34" x14ac:dyDescent="0.25">
      <c r="S679" s="116"/>
      <c r="T679" s="116"/>
      <c r="U679" s="129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</row>
    <row r="680" spans="19:34" ht="15.75" thickBot="1" x14ac:dyDescent="0.3"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</row>
    <row r="681" spans="19:34" ht="15.75" thickBot="1" x14ac:dyDescent="0.3">
      <c r="S681" s="116"/>
      <c r="V681" s="162" t="s">
        <v>60</v>
      </c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4"/>
    </row>
    <row r="682" spans="19:34" x14ac:dyDescent="0.25">
      <c r="S682" s="116"/>
      <c r="Y682" s="175" t="s">
        <v>63</v>
      </c>
      <c r="Z682" s="175"/>
      <c r="AA682" s="175"/>
      <c r="AB682" s="175"/>
      <c r="AC682" s="175"/>
      <c r="AD682" s="175"/>
      <c r="AE682" s="175"/>
      <c r="AF682" s="175"/>
      <c r="AG682" s="175"/>
      <c r="AH682" s="175"/>
    </row>
    <row r="683" spans="19:34" ht="17.25" x14ac:dyDescent="0.25">
      <c r="S683" s="116">
        <v>22</v>
      </c>
      <c r="T683" s="70" t="s">
        <v>76</v>
      </c>
      <c r="U683" s="130" t="s">
        <v>77</v>
      </c>
      <c r="V683" s="70" t="s">
        <v>78</v>
      </c>
      <c r="W683" s="70" t="s">
        <v>79</v>
      </c>
      <c r="X683" s="70" t="s">
        <v>80</v>
      </c>
      <c r="Y683" s="131" t="s">
        <v>30</v>
      </c>
      <c r="Z683" s="131" t="s">
        <v>32</v>
      </c>
      <c r="AA683" s="131" t="s">
        <v>81</v>
      </c>
      <c r="AB683" s="131" t="s">
        <v>25</v>
      </c>
      <c r="AC683" s="131" t="s">
        <v>26</v>
      </c>
      <c r="AD683" s="131" t="s">
        <v>27</v>
      </c>
      <c r="AE683" s="131" t="s">
        <v>28</v>
      </c>
      <c r="AF683" s="131" t="s">
        <v>82</v>
      </c>
      <c r="AG683" s="131" t="s">
        <v>29</v>
      </c>
      <c r="AH683" s="132" t="s">
        <v>31</v>
      </c>
    </row>
    <row r="684" spans="19:34" x14ac:dyDescent="0.25">
      <c r="S684" s="116"/>
      <c r="T684" s="70">
        <f>K45</f>
        <v>0.8662112500000001</v>
      </c>
      <c r="U684" s="69">
        <f>+S8*T684</f>
        <v>2.3217123492362225E-5</v>
      </c>
      <c r="V684" s="69">
        <f>$T$684*T684</f>
        <v>0.75032192962656263</v>
      </c>
      <c r="W684" s="69">
        <f>$R$8*R8</f>
        <v>4.2845172623208805E-2</v>
      </c>
      <c r="X684" s="69">
        <f>SQRT(W684)</f>
        <v>0.20699075492207086</v>
      </c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</row>
    <row r="685" spans="19:34" x14ac:dyDescent="0.25">
      <c r="S685" s="116"/>
      <c r="T685" s="70">
        <f>M45</f>
        <v>5.4522083333333339E-2</v>
      </c>
      <c r="U685" s="69">
        <f t="shared" ref="U685:U693" si="201">+S9*T685</f>
        <v>2.210225948361266E-6</v>
      </c>
      <c r="V685" s="69">
        <f t="shared" ref="V685:V693" si="202">$T$684*T685</f>
        <v>4.7227641956770844E-2</v>
      </c>
      <c r="W685" s="69">
        <f t="shared" ref="W685:W693" si="203">$R$8*R9</f>
        <v>0.12918986849197683</v>
      </c>
      <c r="X685" s="69">
        <f t="shared" ref="X685:X693" si="204">SQRT(W685)</f>
        <v>0.35942992153127268</v>
      </c>
      <c r="Y685" s="70">
        <f t="shared" ref="Y685:Y693" si="205">(($T$684*T685)*SQRT($R$8*R9))*(1-B60)</f>
        <v>1.7019162714500023E-2</v>
      </c>
      <c r="Z685" s="70"/>
      <c r="AA685" s="70"/>
      <c r="AB685" s="70"/>
      <c r="AC685" s="70"/>
      <c r="AD685" s="70"/>
      <c r="AE685" s="70"/>
      <c r="AF685" s="70"/>
      <c r="AG685" s="70"/>
      <c r="AH685" s="70"/>
    </row>
    <row r="686" spans="19:34" x14ac:dyDescent="0.25">
      <c r="S686" s="116"/>
      <c r="T686" s="70">
        <f>+E45</f>
        <v>4.602083333333333E-3</v>
      </c>
      <c r="U686" s="69">
        <f t="shared" si="201"/>
        <v>2.5917216993584461E-7</v>
      </c>
      <c r="V686" s="69">
        <f t="shared" si="202"/>
        <v>3.9863763567708332E-3</v>
      </c>
      <c r="W686" s="69">
        <f t="shared" si="203"/>
        <v>0.24193902239770376</v>
      </c>
      <c r="X686" s="69">
        <f t="shared" si="204"/>
        <v>0.49187297384355622</v>
      </c>
      <c r="Y686" s="70">
        <f t="shared" si="205"/>
        <v>1.933339722356008E-3</v>
      </c>
      <c r="Z686" s="70">
        <f t="shared" ref="Z686:Z693" si="206">(($T$685*T686)*SQRT($R$9*R10))*(1-B61)</f>
        <v>2.1131001263952011E-4</v>
      </c>
      <c r="AA686" s="70"/>
      <c r="AB686" s="70"/>
      <c r="AC686" s="70"/>
      <c r="AD686" s="70"/>
      <c r="AE686" s="70"/>
      <c r="AF686" s="70"/>
      <c r="AG686" s="70"/>
      <c r="AH686" s="70"/>
    </row>
    <row r="687" spans="19:34" x14ac:dyDescent="0.25">
      <c r="S687" s="116"/>
      <c r="T687" s="70">
        <f>+G45</f>
        <v>7.6375000000000011E-4</v>
      </c>
      <c r="U687" s="69">
        <f t="shared" si="201"/>
        <v>5.5328999051891788E-8</v>
      </c>
      <c r="V687" s="69">
        <f t="shared" si="202"/>
        <v>6.6156884218750015E-4</v>
      </c>
      <c r="W687" s="69">
        <f t="shared" si="203"/>
        <v>0.39059496580954223</v>
      </c>
      <c r="X687" s="69">
        <f t="shared" si="204"/>
        <v>0.62497597218576506</v>
      </c>
      <c r="Y687" s="70">
        <f t="shared" si="205"/>
        <v>4.0287993577790696E-4</v>
      </c>
      <c r="Z687" s="70">
        <f t="shared" si="206"/>
        <v>4.4033939476345246E-5</v>
      </c>
      <c r="AA687" s="70">
        <f t="shared" ref="AA687:AA693" si="207">(($T$686*U687)*SQRT($R$10*S11))*(1-C62)</f>
        <v>2.3587702536819968E-12</v>
      </c>
      <c r="AB687" s="70"/>
      <c r="AC687" s="70"/>
      <c r="AD687" s="70"/>
      <c r="AE687" s="70"/>
      <c r="AF687" s="70"/>
      <c r="AG687" s="70"/>
      <c r="AH687" s="70"/>
    </row>
    <row r="688" spans="19:34" x14ac:dyDescent="0.25">
      <c r="S688" s="116"/>
      <c r="T688" s="70">
        <f>+F45</f>
        <v>4.0375000000000014E-4</v>
      </c>
      <c r="U688" s="69">
        <f t="shared" si="201"/>
        <v>2.9260020772264153E-8</v>
      </c>
      <c r="V688" s="69">
        <f t="shared" si="202"/>
        <v>3.4973279218750017E-4</v>
      </c>
      <c r="W688" s="69">
        <f t="shared" si="203"/>
        <v>0.36453710099529019</v>
      </c>
      <c r="X688" s="69">
        <f t="shared" si="204"/>
        <v>0.60376907919774281</v>
      </c>
      <c r="Y688" s="70">
        <f t="shared" si="205"/>
        <v>2.083494465537753E-4</v>
      </c>
      <c r="Z688" s="70">
        <f t="shared" si="206"/>
        <v>2.2772161392858511E-5</v>
      </c>
      <c r="AA688" s="70">
        <f t="shared" si="207"/>
        <v>1.2274343534372336E-12</v>
      </c>
      <c r="AB688" s="70">
        <f t="shared" ref="AB688:AB693" si="208">(($T$687*V688)*SQRT($R$11*T688))*(1-D63)</f>
        <v>7.3484568938684831E-9</v>
      </c>
      <c r="AC688" s="70"/>
      <c r="AD688" s="70"/>
      <c r="AE688" s="70"/>
      <c r="AF688" s="70"/>
      <c r="AG688" s="70"/>
      <c r="AH688" s="70"/>
    </row>
    <row r="689" spans="19:34" x14ac:dyDescent="0.25">
      <c r="S689" s="116"/>
      <c r="T689" s="70">
        <f>+I45</f>
        <v>2.2333333333333344E-4</v>
      </c>
      <c r="U689" s="69">
        <f t="shared" si="201"/>
        <v>2.0135409400368158E-8</v>
      </c>
      <c r="V689" s="69">
        <f t="shared" si="202"/>
        <v>1.9345384583333345E-4</v>
      </c>
      <c r="W689" s="69">
        <f t="shared" si="203"/>
        <v>0.57891172563229198</v>
      </c>
      <c r="X689" s="69">
        <f t="shared" si="204"/>
        <v>0.76086248799128742</v>
      </c>
      <c r="Y689" s="70">
        <f t="shared" si="205"/>
        <v>1.4801604838916556E-4</v>
      </c>
      <c r="Z689" s="70">
        <f t="shared" si="206"/>
        <v>1.6177846394140838E-5</v>
      </c>
      <c r="AA689" s="70">
        <f t="shared" si="207"/>
        <v>9.5125266699652022E-13</v>
      </c>
      <c r="AB689" s="70">
        <f t="shared" si="208"/>
        <v>2.9994773620551777E-9</v>
      </c>
      <c r="AC689" s="70">
        <f>(($T$688*W689)*SQRT($R$12*U689))*(1-E64)</f>
        <v>4.401497982314909E-8</v>
      </c>
      <c r="AD689" s="70"/>
      <c r="AE689" s="70"/>
      <c r="AF689" s="70"/>
      <c r="AG689" s="70"/>
      <c r="AH689" s="70"/>
    </row>
    <row r="690" spans="19:34" x14ac:dyDescent="0.25">
      <c r="S690" s="116"/>
      <c r="T690" s="70">
        <f>+H45</f>
        <v>2.0625000000000008E-4</v>
      </c>
      <c r="U690" s="69">
        <f t="shared" si="201"/>
        <v>1.8173092154640535E-8</v>
      </c>
      <c r="V690" s="69">
        <f t="shared" si="202"/>
        <v>1.7865607031250009E-4</v>
      </c>
      <c r="W690" s="69">
        <f t="shared" si="203"/>
        <v>0.54235185847350886</v>
      </c>
      <c r="X690" s="69">
        <f t="shared" si="204"/>
        <v>0.73644542124553181</v>
      </c>
      <c r="Y690" s="70">
        <f t="shared" si="205"/>
        <v>1.2854432472529518E-4</v>
      </c>
      <c r="Z690" s="70">
        <f t="shared" si="206"/>
        <v>1.4049627475371825E-5</v>
      </c>
      <c r="AA690" s="70">
        <f t="shared" si="207"/>
        <v>8.4212672970609101E-13</v>
      </c>
      <c r="AB690" s="70">
        <f t="shared" si="208"/>
        <v>2.6199955210440822E-9</v>
      </c>
      <c r="AC690" s="70">
        <f>(($T$688*W690)*SQRT($R$12*U690))*(1-E65)</f>
        <v>3.9174501252017297E-8</v>
      </c>
      <c r="AD690" s="70">
        <f>(($T$689*X690)*SQRT($R$13*V690))*(1-F65)</f>
        <v>3.6764926468275864E-6</v>
      </c>
      <c r="AE690" s="70"/>
      <c r="AF690" s="70"/>
      <c r="AG690" s="70"/>
      <c r="AH690" s="70"/>
    </row>
    <row r="691" spans="19:34" x14ac:dyDescent="0.25">
      <c r="S691" s="116"/>
      <c r="T691" s="70">
        <f>+D45</f>
        <v>3.1666666666666676E-4</v>
      </c>
      <c r="U691" s="69">
        <f t="shared" si="201"/>
        <v>3.4372794528833063E-8</v>
      </c>
      <c r="V691" s="69">
        <f t="shared" si="202"/>
        <v>2.7430022916666676E-4</v>
      </c>
      <c r="W691" s="69">
        <f t="shared" si="203"/>
        <v>0.8050809492880614</v>
      </c>
      <c r="X691" s="69">
        <f t="shared" si="204"/>
        <v>0.89726303238685889</v>
      </c>
      <c r="Y691" s="70">
        <f t="shared" si="205"/>
        <v>2.3573321438833972E-4</v>
      </c>
      <c r="Z691" s="70">
        <f t="shared" si="206"/>
        <v>2.5765150291978625E-5</v>
      </c>
      <c r="AA691" s="70">
        <f t="shared" si="207"/>
        <v>1.7995935439043351E-12</v>
      </c>
      <c r="AB691" s="70">
        <f t="shared" si="208"/>
        <v>5.1175524556463691E-9</v>
      </c>
      <c r="AC691" s="70">
        <f>(($T$688*W691)*SQRT($R$12*U691))*(1-E66)</f>
        <v>7.9975119898661903E-8</v>
      </c>
      <c r="AD691" s="70">
        <f>(($T$689*X691)*SQRT($R$13*V691))*(1-F66)</f>
        <v>5.5813900228278884E-6</v>
      </c>
      <c r="AE691" s="70">
        <f>(($T$690*Y691)*SQRT($R$14*W691))*(1-G66)</f>
        <v>7.0615429101021591E-8</v>
      </c>
      <c r="AF691" s="70"/>
      <c r="AG691" s="70"/>
      <c r="AH691" s="70"/>
    </row>
    <row r="692" spans="19:34" x14ac:dyDescent="0.25">
      <c r="S692" s="116"/>
      <c r="T692" s="70">
        <f>+J45</f>
        <v>7.2372916666666662E-2</v>
      </c>
      <c r="U692" s="69">
        <f t="shared" si="201"/>
        <v>1.737691873559228E-6</v>
      </c>
      <c r="V692" s="69">
        <f t="shared" si="202"/>
        <v>6.2690234611979173E-2</v>
      </c>
      <c r="W692" s="69">
        <f t="shared" si="203"/>
        <v>1.8651528335962096E-2</v>
      </c>
      <c r="X692" s="69">
        <f t="shared" si="204"/>
        <v>0.13657059835836591</v>
      </c>
      <c r="Y692" s="70">
        <f t="shared" si="205"/>
        <v>8.2953757594814038E-3</v>
      </c>
      <c r="Z692" s="70">
        <f t="shared" si="206"/>
        <v>9.0666732613835113E-4</v>
      </c>
      <c r="AA692" s="70">
        <f t="shared" si="207"/>
        <v>4.0182820537239019E-11</v>
      </c>
      <c r="AB692" s="70">
        <f t="shared" si="208"/>
        <v>1.6186507712335726E-5</v>
      </c>
      <c r="AC692" s="70">
        <f>(($T$688*W692)*SQRT($R$12*U692))*(1-E67)</f>
        <v>1.1812883149952271E-8</v>
      </c>
      <c r="AD692" s="70">
        <f>(($T$689*X692)*SQRT($R$13*V692))*(1-F67)</f>
        <v>1.1749766441649634E-5</v>
      </c>
      <c r="AE692" s="70">
        <f>(($T$690*Y692)*SQRT($R$14*W692))*(1-G67)</f>
        <v>3.4335430989862549E-7</v>
      </c>
      <c r="AF692" s="70">
        <f>(($T$691*Z692)*SQRT($R$15*X692))*(1-H67)</f>
        <v>1.883283632855588E-7</v>
      </c>
      <c r="AG692" s="70"/>
      <c r="AH692" s="70"/>
    </row>
    <row r="693" spans="19:34" x14ac:dyDescent="0.25">
      <c r="S693" s="116"/>
      <c r="T693" s="70">
        <f>L45</f>
        <v>3.8333333333333345E-4</v>
      </c>
      <c r="U693" s="69">
        <f t="shared" si="201"/>
        <v>1.0217236831587749E-8</v>
      </c>
      <c r="V693" s="69">
        <f t="shared" si="202"/>
        <v>3.3204764583333345E-4</v>
      </c>
      <c r="W693" s="69">
        <f t="shared" si="203"/>
        <v>8.5334097849090448E-2</v>
      </c>
      <c r="X693" s="69">
        <f t="shared" si="204"/>
        <v>0.29212000590355064</v>
      </c>
      <c r="Y693" s="70">
        <f t="shared" si="205"/>
        <v>8.8083666093098975E-5</v>
      </c>
      <c r="Z693" s="70">
        <f t="shared" si="206"/>
        <v>9.6273615962257635E-6</v>
      </c>
      <c r="AA693" s="70">
        <f t="shared" si="207"/>
        <v>2.2775268644904598E-13</v>
      </c>
      <c r="AB693" s="70">
        <f t="shared" si="208"/>
        <v>5.9742348987175225E-9</v>
      </c>
      <c r="AC693" s="70">
        <f>(($T$688*W693)*SQRT($R$12*U693))*(1-E68)</f>
        <v>4.0670539426800579E-9</v>
      </c>
      <c r="AD693" s="70">
        <f>(($T$689*X693)*SQRT($R$13*V693))*(1-F68)</f>
        <v>1.7231161260706173E-6</v>
      </c>
      <c r="AE693" s="70">
        <f>(($T$690*Y693)*SQRT($R$14*W693))*(1-G68)</f>
        <v>6.7091386322636043E-9</v>
      </c>
      <c r="AF693" s="70">
        <f>(($T$691*Z693)*SQRT($R$15*X693))*(1-H68)</f>
        <v>2.8525296159239784E-9</v>
      </c>
      <c r="AG693" s="70">
        <f>(($T$692*AA693)*SQRT($R$16*Y693))*(1-I68)</f>
        <v>4.1329392269663182E-17</v>
      </c>
      <c r="AH693" s="70"/>
    </row>
    <row r="694" spans="19:34" x14ac:dyDescent="0.25">
      <c r="S694" s="116"/>
      <c r="T694" s="130" t="s">
        <v>77</v>
      </c>
      <c r="U694" s="133">
        <f>SUM(U684:U693)</f>
        <v>2.7591701036958143E-5</v>
      </c>
      <c r="V694" s="108"/>
      <c r="W694" s="108"/>
      <c r="X694" s="108"/>
      <c r="Y694" s="70">
        <f>SUM(Y685:Y693)</f>
        <v>2.8459484832265021E-2</v>
      </c>
      <c r="Z694" s="70">
        <f t="shared" ref="Z694:AG694" si="209">SUM(Z685:Z693)</f>
        <v>1.2504034254047921E-3</v>
      </c>
      <c r="AA694" s="70">
        <f t="shared" si="209"/>
        <v>4.758975077141424E-11</v>
      </c>
      <c r="AB694" s="70">
        <f t="shared" si="209"/>
        <v>1.6210567429467056E-5</v>
      </c>
      <c r="AC694" s="70">
        <f t="shared" si="209"/>
        <v>1.7904453806646061E-7</v>
      </c>
      <c r="AD694" s="70">
        <f t="shared" si="209"/>
        <v>2.2730765237375725E-5</v>
      </c>
      <c r="AE694" s="70">
        <f t="shared" si="209"/>
        <v>4.206788776319107E-7</v>
      </c>
      <c r="AF694" s="70">
        <f t="shared" si="209"/>
        <v>1.9118089290148277E-7</v>
      </c>
      <c r="AG694" s="70">
        <f t="shared" si="209"/>
        <v>4.1329392269663182E-17</v>
      </c>
      <c r="AH694" s="130">
        <f>SUM(Y694:AG694)</f>
        <v>2.9749620542235049E-2</v>
      </c>
    </row>
    <row r="695" spans="19:34" x14ac:dyDescent="0.25">
      <c r="S695" s="116"/>
    </row>
    <row r="696" spans="19:34" x14ac:dyDescent="0.25">
      <c r="S696" s="116"/>
      <c r="T696" s="112" t="s">
        <v>99</v>
      </c>
      <c r="U696" s="108"/>
      <c r="V696" s="108"/>
      <c r="W696" s="108"/>
      <c r="X696" s="108"/>
      <c r="Y696" s="108"/>
      <c r="Z696" s="108"/>
      <c r="AA696" s="108"/>
      <c r="AB696" s="108"/>
    </row>
    <row r="697" spans="19:34" x14ac:dyDescent="0.25">
      <c r="S697" s="116"/>
      <c r="T697" s="137" t="s">
        <v>100</v>
      </c>
      <c r="U697" s="138">
        <f>+AH694</f>
        <v>2.9749620542235049E-2</v>
      </c>
      <c r="V697" s="138" t="s">
        <v>101</v>
      </c>
      <c r="W697" s="139"/>
      <c r="X697" s="108"/>
      <c r="Y697" s="108"/>
      <c r="Z697" s="108"/>
      <c r="AA697" s="108"/>
      <c r="AB697" s="108"/>
    </row>
    <row r="698" spans="19:34" x14ac:dyDescent="0.25">
      <c r="S698" s="116"/>
      <c r="T698" s="137" t="s">
        <v>103</v>
      </c>
      <c r="U698" s="138">
        <f>+U694</f>
        <v>2.7591701036958143E-5</v>
      </c>
      <c r="V698" s="138" t="s">
        <v>101</v>
      </c>
      <c r="W698" s="108"/>
      <c r="X698" s="108"/>
      <c r="Y698" s="108"/>
      <c r="Z698" s="140" t="e">
        <f>(U702*U702)+(2*U698*U702)-(U698*U698)</f>
        <v>#DIV/0!</v>
      </c>
      <c r="AA698" s="108"/>
      <c r="AB698" s="108"/>
    </row>
    <row r="699" spans="19:34" x14ac:dyDescent="0.25">
      <c r="S699" s="116"/>
      <c r="T699" s="137" t="s">
        <v>104</v>
      </c>
      <c r="U699" s="138">
        <v>8.3145100000000003</v>
      </c>
      <c r="V699" s="138" t="s">
        <v>105</v>
      </c>
      <c r="W699" s="108"/>
      <c r="X699" s="108"/>
      <c r="Y699" s="108"/>
      <c r="Z699" s="140"/>
      <c r="AA699" s="108"/>
      <c r="AB699" s="108"/>
    </row>
    <row r="700" spans="19:34" x14ac:dyDescent="0.25">
      <c r="S700" s="116"/>
      <c r="T700" s="137" t="s">
        <v>106</v>
      </c>
      <c r="U700" s="141">
        <f>B45*98066.5</f>
        <v>0</v>
      </c>
      <c r="V700" s="142" t="s">
        <v>107</v>
      </c>
      <c r="W700" s="108"/>
      <c r="X700" s="108"/>
      <c r="Y700" s="108"/>
      <c r="Z700" s="140" t="e">
        <f>U697/Z698</f>
        <v>#DIV/0!</v>
      </c>
      <c r="AA700" s="108"/>
      <c r="AB700" s="108"/>
    </row>
    <row r="701" spans="19:34" x14ac:dyDescent="0.25">
      <c r="S701" s="116"/>
      <c r="T701" s="137" t="s">
        <v>108</v>
      </c>
      <c r="U701" s="141" t="s">
        <v>109</v>
      </c>
      <c r="V701" s="138" t="s">
        <v>110</v>
      </c>
      <c r="W701" s="108"/>
      <c r="X701" s="108"/>
      <c r="Y701" s="108"/>
      <c r="Z701" s="140"/>
      <c r="AA701" s="108"/>
      <c r="AB701" s="108"/>
    </row>
    <row r="702" spans="19:34" x14ac:dyDescent="0.25">
      <c r="S702" s="116"/>
      <c r="T702" s="137" t="s">
        <v>112</v>
      </c>
      <c r="U702" s="138" t="e">
        <f>+U710</f>
        <v>#DIV/0!</v>
      </c>
      <c r="V702" s="138" t="s">
        <v>113</v>
      </c>
      <c r="W702" s="108"/>
      <c r="X702" s="108"/>
      <c r="Y702" s="108"/>
      <c r="Z702" s="140" t="e">
        <f>U702-U698</f>
        <v>#DIV/0!</v>
      </c>
      <c r="AA702" s="108"/>
      <c r="AB702" s="108"/>
    </row>
    <row r="703" spans="19:34" x14ac:dyDescent="0.25">
      <c r="S703" s="116"/>
      <c r="T703" s="108"/>
      <c r="U703" s="108"/>
      <c r="V703" s="108"/>
      <c r="W703" s="108"/>
      <c r="X703" s="108"/>
      <c r="Y703" s="108"/>
      <c r="Z703" s="108"/>
      <c r="AA703" s="108"/>
      <c r="AB703" s="108"/>
    </row>
    <row r="704" spans="19:34" x14ac:dyDescent="0.25">
      <c r="S704" s="116"/>
      <c r="T704" s="108"/>
      <c r="U704" s="108"/>
      <c r="V704" s="108"/>
      <c r="W704" s="108"/>
      <c r="X704" s="108"/>
      <c r="Y704" s="108"/>
      <c r="Z704" s="108"/>
      <c r="AA704" s="108"/>
      <c r="AB704" s="108"/>
    </row>
    <row r="705" spans="19:34" x14ac:dyDescent="0.25">
      <c r="S705" s="116"/>
      <c r="T705" s="108"/>
      <c r="U705" s="108"/>
      <c r="V705" s="108"/>
      <c r="W705" s="108"/>
      <c r="X705" s="108"/>
      <c r="Y705" s="108"/>
      <c r="Z705" s="108"/>
      <c r="AA705" s="108"/>
      <c r="AB705" s="108"/>
    </row>
    <row r="706" spans="19:34" x14ac:dyDescent="0.25">
      <c r="S706" s="116"/>
      <c r="T706" s="108" t="s">
        <v>116</v>
      </c>
      <c r="U706" s="108">
        <v>0.98</v>
      </c>
      <c r="V706" s="108"/>
      <c r="W706" s="108"/>
      <c r="X706" s="108"/>
      <c r="Y706" s="108"/>
      <c r="Z706" s="108"/>
      <c r="AA706" s="108"/>
      <c r="AB706" s="108"/>
    </row>
    <row r="707" spans="19:34" x14ac:dyDescent="0.25">
      <c r="S707" s="116"/>
      <c r="T707" s="108" t="s">
        <v>106</v>
      </c>
      <c r="U707" s="143">
        <f>U700</f>
        <v>0</v>
      </c>
      <c r="V707" s="108" t="s">
        <v>117</v>
      </c>
      <c r="W707" s="108"/>
      <c r="X707" s="108"/>
      <c r="Y707" s="108"/>
      <c r="Z707" s="108"/>
      <c r="AA707" s="108"/>
      <c r="AB707" s="108"/>
    </row>
    <row r="708" spans="19:34" x14ac:dyDescent="0.25">
      <c r="S708" s="116"/>
      <c r="T708" s="108" t="s">
        <v>118</v>
      </c>
      <c r="U708" s="143">
        <f>C45+273.15</f>
        <v>273.14999999999998</v>
      </c>
      <c r="V708" s="108" t="s">
        <v>49</v>
      </c>
      <c r="W708" s="108"/>
      <c r="X708" s="108"/>
      <c r="Y708" s="108"/>
      <c r="Z708" s="108"/>
      <c r="AA708" s="108"/>
      <c r="AB708" s="108"/>
    </row>
    <row r="709" spans="19:34" x14ac:dyDescent="0.25">
      <c r="S709" s="116"/>
      <c r="T709" s="108"/>
      <c r="U709" s="108"/>
      <c r="V709" s="108"/>
      <c r="W709" s="108"/>
      <c r="X709" s="108"/>
      <c r="Y709" s="108"/>
      <c r="Z709" s="108"/>
      <c r="AA709" s="108"/>
      <c r="AB709" s="108"/>
    </row>
    <row r="710" spans="19:34" x14ac:dyDescent="0.25">
      <c r="S710" s="116"/>
      <c r="T710" s="108" t="s">
        <v>121</v>
      </c>
      <c r="U710" s="108" t="e">
        <f>(0.98*U699*U708)/U707</f>
        <v>#DIV/0!</v>
      </c>
      <c r="V710" s="108" t="s">
        <v>113</v>
      </c>
      <c r="W710" s="108"/>
      <c r="X710" s="108"/>
      <c r="Y710" s="108"/>
      <c r="Z710" s="108"/>
      <c r="AA710" s="108"/>
      <c r="AB710" s="108"/>
    </row>
    <row r="711" spans="19:34" x14ac:dyDescent="0.25"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</row>
    <row r="712" spans="19:34" ht="15.75" thickBot="1" x14ac:dyDescent="0.3"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</row>
    <row r="713" spans="19:34" ht="15.75" thickBot="1" x14ac:dyDescent="0.3">
      <c r="S713" s="116"/>
      <c r="V713" s="162" t="s">
        <v>60</v>
      </c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4"/>
    </row>
    <row r="714" spans="19:34" x14ac:dyDescent="0.25">
      <c r="S714" s="116"/>
      <c r="Y714" s="175" t="s">
        <v>63</v>
      </c>
      <c r="Z714" s="175"/>
      <c r="AA714" s="175"/>
      <c r="AB714" s="175"/>
      <c r="AC714" s="175"/>
      <c r="AD714" s="175"/>
      <c r="AE714" s="175"/>
      <c r="AF714" s="175"/>
      <c r="AG714" s="175"/>
      <c r="AH714" s="175"/>
    </row>
    <row r="715" spans="19:34" ht="17.25" x14ac:dyDescent="0.25">
      <c r="S715" s="116">
        <v>23</v>
      </c>
      <c r="T715" s="70" t="s">
        <v>76</v>
      </c>
      <c r="U715" s="130" t="s">
        <v>77</v>
      </c>
      <c r="V715" s="70" t="s">
        <v>78</v>
      </c>
      <c r="W715" s="70" t="s">
        <v>79</v>
      </c>
      <c r="X715" s="70" t="s">
        <v>80</v>
      </c>
      <c r="Y715" s="131" t="s">
        <v>30</v>
      </c>
      <c r="Z715" s="131" t="s">
        <v>32</v>
      </c>
      <c r="AA715" s="131" t="s">
        <v>81</v>
      </c>
      <c r="AB715" s="131" t="s">
        <v>25</v>
      </c>
      <c r="AC715" s="131" t="s">
        <v>26</v>
      </c>
      <c r="AD715" s="131" t="s">
        <v>27</v>
      </c>
      <c r="AE715" s="131" t="s">
        <v>28</v>
      </c>
      <c r="AF715" s="131" t="s">
        <v>82</v>
      </c>
      <c r="AG715" s="131" t="s">
        <v>29</v>
      </c>
      <c r="AH715" s="132" t="s">
        <v>31</v>
      </c>
    </row>
    <row r="716" spans="19:34" x14ac:dyDescent="0.25">
      <c r="S716" s="116"/>
      <c r="T716" s="70">
        <f>K46</f>
        <v>0.86579666666666655</v>
      </c>
      <c r="U716" s="69">
        <f>+S8*T716</f>
        <v>2.3206011384954382E-5</v>
      </c>
      <c r="V716" s="69">
        <f>$T$716*T716</f>
        <v>0.7496038680111109</v>
      </c>
      <c r="W716" s="69">
        <f>$R$8*R8</f>
        <v>4.2845172623208805E-2</v>
      </c>
      <c r="X716" s="69">
        <f>SQRT(W716)</f>
        <v>0.20699075492207086</v>
      </c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</row>
    <row r="717" spans="19:34" x14ac:dyDescent="0.25">
      <c r="S717" s="116"/>
      <c r="T717" s="70">
        <f>M46</f>
        <v>5.5847083333333325E-2</v>
      </c>
      <c r="U717" s="69">
        <f t="shared" ref="U717:U725" si="210">+S9*T717</f>
        <v>2.2639390349224358E-6</v>
      </c>
      <c r="V717" s="69">
        <f t="shared" ref="V717:V725" si="211">$T$716*T717</f>
        <v>4.8352218593055545E-2</v>
      </c>
      <c r="W717" s="69">
        <f t="shared" ref="W717:W725" si="212">$R$8*R9</f>
        <v>0.12918986849197683</v>
      </c>
      <c r="X717" s="69">
        <f t="shared" ref="X717:X725" si="213">SQRT(W717)</f>
        <v>0.35942992153127268</v>
      </c>
      <c r="Y717" s="70">
        <f t="shared" ref="Y717:Y725" si="214">(($T$716*T717)*SQRT($R$8*R9))*(1-B60)</f>
        <v>1.7424420143515286E-2</v>
      </c>
      <c r="Z717" s="70"/>
      <c r="AA717" s="70"/>
      <c r="AB717" s="70"/>
      <c r="AC717" s="70"/>
      <c r="AD717" s="70"/>
      <c r="AE717" s="70"/>
      <c r="AF717" s="70"/>
      <c r="AG717" s="70"/>
      <c r="AH717" s="70"/>
    </row>
    <row r="718" spans="19:34" x14ac:dyDescent="0.25">
      <c r="S718" s="116"/>
      <c r="T718" s="70">
        <f>+E46</f>
        <v>5.1370833333333346E-3</v>
      </c>
      <c r="U718" s="69">
        <f t="shared" si="210"/>
        <v>2.8930137466175003E-7</v>
      </c>
      <c r="V718" s="69">
        <f t="shared" si="211"/>
        <v>4.4476696263888891E-3</v>
      </c>
      <c r="W718" s="69">
        <f t="shared" si="212"/>
        <v>0.24193902239770376</v>
      </c>
      <c r="X718" s="69">
        <f t="shared" si="213"/>
        <v>0.49187297384355622</v>
      </c>
      <c r="Y718" s="70">
        <f t="shared" si="214"/>
        <v>2.1570608470042837E-3</v>
      </c>
      <c r="Z718" s="70">
        <f t="shared" ref="Z718:Z725" si="215">(($T$717*T718)*SQRT($R$9*R10))*(1-B61)</f>
        <v>2.4160741721139571E-4</v>
      </c>
      <c r="AA718" s="70"/>
      <c r="AB718" s="70"/>
      <c r="AC718" s="70"/>
      <c r="AD718" s="70"/>
      <c r="AE718" s="70"/>
      <c r="AF718" s="70"/>
      <c r="AG718" s="70"/>
      <c r="AH718" s="70"/>
    </row>
    <row r="719" spans="19:34" x14ac:dyDescent="0.25">
      <c r="S719" s="116"/>
      <c r="T719" s="70">
        <f>+G46</f>
        <v>9.2749999999999994E-4</v>
      </c>
      <c r="U719" s="69">
        <f t="shared" si="210"/>
        <v>6.7191681336339927E-8</v>
      </c>
      <c r="V719" s="69">
        <f t="shared" si="211"/>
        <v>8.0302640833333316E-4</v>
      </c>
      <c r="W719" s="69">
        <f t="shared" si="212"/>
        <v>0.39059496580954223</v>
      </c>
      <c r="X719" s="69">
        <f t="shared" si="213"/>
        <v>0.62497597218576506</v>
      </c>
      <c r="Y719" s="70">
        <f t="shared" si="214"/>
        <v>4.8902428165685052E-4</v>
      </c>
      <c r="Z719" s="70">
        <f t="shared" si="215"/>
        <v>5.4774483440677431E-5</v>
      </c>
      <c r="AA719" s="70">
        <f t="shared" ref="AA719:AA725" si="216">(($T$718*U719)*SQRT($R$10*S11))*(1-C62)</f>
        <v>3.1974993855034111E-12</v>
      </c>
      <c r="AB719" s="70"/>
      <c r="AC719" s="70"/>
      <c r="AD719" s="70"/>
      <c r="AE719" s="70"/>
      <c r="AF719" s="70"/>
      <c r="AG719" s="70"/>
      <c r="AH719" s="70"/>
    </row>
    <row r="720" spans="19:34" x14ac:dyDescent="0.25">
      <c r="S720" s="116"/>
      <c r="T720" s="70">
        <f>+F46</f>
        <v>4.7916666666666669E-4</v>
      </c>
      <c r="U720" s="69">
        <f t="shared" si="210"/>
        <v>3.47255148484043E-8</v>
      </c>
      <c r="V720" s="69">
        <f t="shared" si="211"/>
        <v>4.1486090277777774E-4</v>
      </c>
      <c r="W720" s="69">
        <f t="shared" si="212"/>
        <v>0.36453710099529019</v>
      </c>
      <c r="X720" s="69">
        <f t="shared" si="213"/>
        <v>0.60376907919774281</v>
      </c>
      <c r="Y720" s="70">
        <f t="shared" si="214"/>
        <v>2.4714879880125489E-4</v>
      </c>
      <c r="Z720" s="70">
        <f t="shared" si="215"/>
        <v>2.7682567706979249E-5</v>
      </c>
      <c r="AA720" s="70">
        <f t="shared" si="216"/>
        <v>1.6260521494586413E-12</v>
      </c>
      <c r="AB720" s="70">
        <f t="shared" ref="AB720:AB725" si="217">(($T$719*V720)*SQRT($R$11*T720))*(1-D63)</f>
        <v>1.153219641155616E-8</v>
      </c>
      <c r="AC720" s="70"/>
      <c r="AD720" s="70"/>
      <c r="AE720" s="70"/>
      <c r="AF720" s="70"/>
      <c r="AG720" s="70"/>
      <c r="AH720" s="70"/>
    </row>
    <row r="721" spans="19:34" x14ac:dyDescent="0.25">
      <c r="S721" s="116"/>
      <c r="T721" s="70">
        <f>+I46</f>
        <v>2.7500000000000012E-4</v>
      </c>
      <c r="U721" s="69">
        <f t="shared" si="210"/>
        <v>2.4793601127319E-8</v>
      </c>
      <c r="V721" s="69">
        <f t="shared" si="211"/>
        <v>2.380940833333334E-4</v>
      </c>
      <c r="W721" s="69">
        <f t="shared" si="212"/>
        <v>0.57891172563229198</v>
      </c>
      <c r="X721" s="69">
        <f t="shared" si="213"/>
        <v>0.76086248799128742</v>
      </c>
      <c r="Y721" s="70">
        <f t="shared" si="214"/>
        <v>1.8217133501808263E-4</v>
      </c>
      <c r="Z721" s="70">
        <f t="shared" si="215"/>
        <v>2.0404591648305699E-5</v>
      </c>
      <c r="AA721" s="70">
        <f t="shared" si="216"/>
        <v>1.3074863561421166E-12</v>
      </c>
      <c r="AB721" s="70">
        <f t="shared" si="217"/>
        <v>4.9747251572026975E-9</v>
      </c>
      <c r="AC721" s="70">
        <f>(($T$720*W721)*SQRT($R$12*U721))*(1-E64)</f>
        <v>5.7964773520941886E-8</v>
      </c>
      <c r="AD721" s="70"/>
      <c r="AE721" s="70"/>
      <c r="AF721" s="70"/>
      <c r="AG721" s="70"/>
      <c r="AH721" s="70"/>
    </row>
    <row r="722" spans="19:34" x14ac:dyDescent="0.25">
      <c r="S722" s="116"/>
      <c r="T722" s="70">
        <f>+H46</f>
        <v>2.5208333333333349E-4</v>
      </c>
      <c r="U722" s="69">
        <f t="shared" si="210"/>
        <v>2.2211557077893992E-8</v>
      </c>
      <c r="V722" s="69">
        <f t="shared" si="211"/>
        <v>2.1825290972222233E-4</v>
      </c>
      <c r="W722" s="69">
        <f t="shared" si="212"/>
        <v>0.54235185847350886</v>
      </c>
      <c r="X722" s="69">
        <f t="shared" si="213"/>
        <v>0.73644542124553181</v>
      </c>
      <c r="Y722" s="70">
        <f t="shared" si="214"/>
        <v>1.5703453484956081E-4</v>
      </c>
      <c r="Z722" s="70">
        <f t="shared" si="215"/>
        <v>1.7589076557894593E-5</v>
      </c>
      <c r="AA722" s="70">
        <f t="shared" si="216"/>
        <v>1.1489199231025643E-12</v>
      </c>
      <c r="AB722" s="70">
        <f t="shared" si="217"/>
        <v>4.2971508238247576E-9</v>
      </c>
      <c r="AC722" s="70">
        <f>(($T$720*W722)*SQRT($R$12*U722))*(1-E65)</f>
        <v>5.1398758274023594E-8</v>
      </c>
      <c r="AD722" s="70">
        <f>(($T$721*X722)*SQRT($R$13*V722))*(1-F65)</f>
        <v>5.0036160875827454E-6</v>
      </c>
      <c r="AE722" s="70"/>
      <c r="AF722" s="70"/>
      <c r="AG722" s="70"/>
      <c r="AH722" s="70"/>
    </row>
    <row r="723" spans="19:34" x14ac:dyDescent="0.25">
      <c r="S723" s="116"/>
      <c r="T723" s="70">
        <f>+D46</f>
        <v>3.7166666666666674E-4</v>
      </c>
      <c r="U723" s="69">
        <f t="shared" si="210"/>
        <v>4.03428062101567E-8</v>
      </c>
      <c r="V723" s="69">
        <f t="shared" si="211"/>
        <v>3.2178776111111112E-4</v>
      </c>
      <c r="W723" s="69">
        <f t="shared" si="212"/>
        <v>0.8050809492880614</v>
      </c>
      <c r="X723" s="69">
        <f t="shared" si="213"/>
        <v>0.89726303238685889</v>
      </c>
      <c r="Y723" s="70">
        <f t="shared" si="214"/>
        <v>2.7654392964964939E-4</v>
      </c>
      <c r="Z723" s="70">
        <f t="shared" si="215"/>
        <v>3.0975048608820732E-5</v>
      </c>
      <c r="AA723" s="70">
        <f t="shared" si="216"/>
        <v>2.3576960773027239E-12</v>
      </c>
      <c r="AB723" s="70">
        <f t="shared" si="217"/>
        <v>7.8984883276465523E-9</v>
      </c>
      <c r="AC723" s="70">
        <f>(($T$720*W723)*SQRT($R$12*U723))*(1-E66)</f>
        <v>1.0282639123537267E-7</v>
      </c>
      <c r="AD723" s="70">
        <f>(($T$721*X723)*SQRT($R$13*V723))*(1-F66)</f>
        <v>7.443774245461297E-6</v>
      </c>
      <c r="AE723" s="70">
        <f>(($T$722*Y723)*SQRT($R$14*W723))*(1-G66)</f>
        <v>1.0124955657078182E-7</v>
      </c>
      <c r="AF723" s="70"/>
      <c r="AG723" s="70"/>
      <c r="AH723" s="70"/>
    </row>
    <row r="724" spans="19:34" x14ac:dyDescent="0.25">
      <c r="S724" s="116"/>
      <c r="T724" s="70">
        <f>+J46</f>
        <v>7.0499583333333338E-2</v>
      </c>
      <c r="U724" s="69">
        <f t="shared" si="210"/>
        <v>1.692712670568225E-6</v>
      </c>
      <c r="V724" s="69">
        <f t="shared" si="211"/>
        <v>6.1038304251388883E-2</v>
      </c>
      <c r="W724" s="69">
        <f t="shared" si="212"/>
        <v>1.8651528335962096E-2</v>
      </c>
      <c r="X724" s="69">
        <f t="shared" si="213"/>
        <v>0.13657059835836591</v>
      </c>
      <c r="Y724" s="70">
        <f t="shared" si="214"/>
        <v>8.0767869608525736E-3</v>
      </c>
      <c r="Z724" s="70">
        <f t="shared" si="215"/>
        <v>9.0466230458374861E-4</v>
      </c>
      <c r="AA724" s="70">
        <f t="shared" si="216"/>
        <v>4.3693116734450695E-11</v>
      </c>
      <c r="AB724" s="70">
        <f t="shared" si="217"/>
        <v>1.888963888529596E-5</v>
      </c>
      <c r="AC724" s="70">
        <f>(($T$720*W724)*SQRT($R$12*U724))*(1-E67)</f>
        <v>1.3836785510964217E-8</v>
      </c>
      <c r="AD724" s="70">
        <f>(($T$721*X724)*SQRT($R$13*V724))*(1-F67)</f>
        <v>1.4276102650320017E-5</v>
      </c>
      <c r="AE724" s="70">
        <f>(($T$722*Y724)*SQRT($R$14*W724))*(1-G67)</f>
        <v>4.0859706565622971E-7</v>
      </c>
      <c r="AF724" s="70">
        <f>(($T$723*Z724)*SQRT($R$15*X724))*(1-H67)</f>
        <v>2.2054921864179384E-7</v>
      </c>
      <c r="AG724" s="70"/>
      <c r="AH724" s="70"/>
    </row>
    <row r="725" spans="19:34" x14ac:dyDescent="0.25">
      <c r="S725" s="116"/>
      <c r="T725" s="70">
        <f>L46</f>
        <v>4.0916666666666678E-4</v>
      </c>
      <c r="U725" s="69">
        <f t="shared" si="210"/>
        <v>1.0905789748499096E-8</v>
      </c>
      <c r="V725" s="69">
        <f t="shared" si="211"/>
        <v>3.5425513611111114E-4</v>
      </c>
      <c r="W725" s="69">
        <f t="shared" si="212"/>
        <v>8.5334097849090448E-2</v>
      </c>
      <c r="X725" s="69">
        <f t="shared" si="213"/>
        <v>0.29212000590355064</v>
      </c>
      <c r="Y725" s="70">
        <f t="shared" si="214"/>
        <v>9.3974739807789172E-5</v>
      </c>
      <c r="Z725" s="70">
        <f t="shared" si="215"/>
        <v>1.0525894158064882E-5</v>
      </c>
      <c r="AA725" s="70">
        <f t="shared" si="216"/>
        <v>2.7136216855434715E-13</v>
      </c>
      <c r="AB725" s="70">
        <f t="shared" si="217"/>
        <v>7.9969166544645166E-9</v>
      </c>
      <c r="AC725" s="70">
        <f>(($T$720*W725)*SQRT($R$12*U725))*(1-E68)</f>
        <v>4.9867296740339355E-9</v>
      </c>
      <c r="AD725" s="70">
        <f>(($T$721*X725)*SQRT($R$13*V725))*(1-F68)</f>
        <v>2.1915509296833693E-6</v>
      </c>
      <c r="AE725" s="70">
        <f>(($T$722*Y725)*SQRT($R$14*W725))*(1-G68)</f>
        <v>8.7484817786568655E-9</v>
      </c>
      <c r="AF725" s="70">
        <f>(($T$723*Z725)*SQRT($R$15*X725))*(1-H68)</f>
        <v>3.660438706213013E-9</v>
      </c>
      <c r="AG725" s="70">
        <f>(($T$724*AA725)*SQRT($R$16*Y725))*(1-I68)</f>
        <v>4.9546520645305887E-17</v>
      </c>
      <c r="AH725" s="70"/>
    </row>
    <row r="726" spans="19:34" x14ac:dyDescent="0.25">
      <c r="S726" s="116"/>
      <c r="T726" s="130" t="s">
        <v>77</v>
      </c>
      <c r="U726" s="133">
        <f>SUM(U716:U725)</f>
        <v>2.7652135415455408E-5</v>
      </c>
      <c r="V726" s="108"/>
      <c r="W726" s="108"/>
      <c r="X726" s="108"/>
      <c r="Y726" s="70">
        <f>SUM(Y717:Y725)</f>
        <v>2.9104165571155329E-2</v>
      </c>
      <c r="Z726" s="70">
        <f t="shared" ref="Z726:AG726" si="218">SUM(Z717:Z725)</f>
        <v>1.308221383915887E-3</v>
      </c>
      <c r="AA726" s="70">
        <f t="shared" si="218"/>
        <v>5.3602132794514504E-11</v>
      </c>
      <c r="AB726" s="70">
        <f t="shared" si="218"/>
        <v>1.8926338362670654E-5</v>
      </c>
      <c r="AC726" s="70">
        <f t="shared" si="218"/>
        <v>2.3101343821533632E-7</v>
      </c>
      <c r="AD726" s="70">
        <f t="shared" si="218"/>
        <v>2.891504391304743E-5</v>
      </c>
      <c r="AE726" s="70">
        <f t="shared" si="218"/>
        <v>5.1859510400566837E-7</v>
      </c>
      <c r="AF726" s="70">
        <f t="shared" si="218"/>
        <v>2.2420965734800684E-7</v>
      </c>
      <c r="AG726" s="70">
        <f t="shared" si="218"/>
        <v>4.9546520645305887E-17</v>
      </c>
      <c r="AH726" s="130">
        <f>SUM(Y726:AG726)</f>
        <v>3.0461202209148684E-2</v>
      </c>
    </row>
    <row r="727" spans="19:34" x14ac:dyDescent="0.25">
      <c r="S727" s="116"/>
    </row>
    <row r="728" spans="19:34" x14ac:dyDescent="0.25">
      <c r="S728" s="116"/>
      <c r="T728" s="112" t="s">
        <v>99</v>
      </c>
      <c r="U728" s="108"/>
      <c r="V728" s="108"/>
      <c r="W728" s="108"/>
      <c r="X728" s="108"/>
      <c r="Y728" s="108"/>
      <c r="Z728" s="108"/>
      <c r="AA728" s="108"/>
      <c r="AB728" s="108"/>
    </row>
    <row r="729" spans="19:34" x14ac:dyDescent="0.25">
      <c r="S729" s="116"/>
      <c r="T729" s="137" t="s">
        <v>100</v>
      </c>
      <c r="U729" s="138">
        <f>+AH726</f>
        <v>3.0461202209148684E-2</v>
      </c>
      <c r="V729" s="138" t="s">
        <v>101</v>
      </c>
      <c r="W729" s="139"/>
      <c r="X729" s="108"/>
      <c r="Y729" s="108"/>
      <c r="Z729" s="108"/>
      <c r="AA729" s="108"/>
      <c r="AB729" s="108"/>
    </row>
    <row r="730" spans="19:34" x14ac:dyDescent="0.25">
      <c r="S730" s="116"/>
      <c r="T730" s="137" t="s">
        <v>103</v>
      </c>
      <c r="U730" s="138">
        <f>+U726</f>
        <v>2.7652135415455408E-5</v>
      </c>
      <c r="V730" s="138" t="s">
        <v>101</v>
      </c>
      <c r="W730" s="108"/>
      <c r="X730" s="108"/>
      <c r="Y730" s="108"/>
      <c r="Z730" s="140" t="e">
        <f>(U734*U734)+(2*U730*U734)-(U730*U730)</f>
        <v>#DIV/0!</v>
      </c>
      <c r="AA730" s="108"/>
      <c r="AB730" s="108"/>
    </row>
    <row r="731" spans="19:34" x14ac:dyDescent="0.25">
      <c r="S731" s="116"/>
      <c r="T731" s="137" t="s">
        <v>104</v>
      </c>
      <c r="U731" s="138">
        <v>8.3145100000000003</v>
      </c>
      <c r="V731" s="138" t="s">
        <v>105</v>
      </c>
      <c r="W731" s="108"/>
      <c r="X731" s="108"/>
      <c r="Y731" s="108"/>
      <c r="Z731" s="140"/>
      <c r="AA731" s="108"/>
      <c r="AB731" s="108"/>
    </row>
    <row r="732" spans="19:34" x14ac:dyDescent="0.25">
      <c r="S732" s="116"/>
      <c r="T732" s="137" t="s">
        <v>106</v>
      </c>
      <c r="U732" s="141">
        <f>B46*98066.5</f>
        <v>0</v>
      </c>
      <c r="V732" s="142" t="s">
        <v>107</v>
      </c>
      <c r="W732" s="108"/>
      <c r="X732" s="108"/>
      <c r="Y732" s="108"/>
      <c r="Z732" s="140" t="e">
        <f>U729/Z730</f>
        <v>#DIV/0!</v>
      </c>
      <c r="AA732" s="108"/>
      <c r="AB732" s="108"/>
    </row>
    <row r="733" spans="19:34" x14ac:dyDescent="0.25">
      <c r="S733" s="116"/>
      <c r="T733" s="137" t="s">
        <v>108</v>
      </c>
      <c r="U733" s="141" t="s">
        <v>109</v>
      </c>
      <c r="V733" s="138" t="s">
        <v>110</v>
      </c>
      <c r="W733" s="108"/>
      <c r="X733" s="108"/>
      <c r="Y733" s="108"/>
      <c r="Z733" s="140"/>
      <c r="AA733" s="108"/>
      <c r="AB733" s="108"/>
    </row>
    <row r="734" spans="19:34" x14ac:dyDescent="0.25">
      <c r="S734" s="116"/>
      <c r="T734" s="137" t="s">
        <v>112</v>
      </c>
      <c r="U734" s="138" t="e">
        <f>+U742</f>
        <v>#DIV/0!</v>
      </c>
      <c r="V734" s="138" t="s">
        <v>113</v>
      </c>
      <c r="W734" s="108"/>
      <c r="X734" s="108"/>
      <c r="Y734" s="108"/>
      <c r="Z734" s="140" t="e">
        <f>U734-U730</f>
        <v>#DIV/0!</v>
      </c>
      <c r="AA734" s="108"/>
      <c r="AB734" s="108"/>
    </row>
    <row r="735" spans="19:34" x14ac:dyDescent="0.25">
      <c r="S735" s="116"/>
      <c r="T735" s="108"/>
      <c r="U735" s="108"/>
      <c r="V735" s="108"/>
      <c r="W735" s="108"/>
      <c r="X735" s="108"/>
      <c r="Y735" s="108"/>
      <c r="Z735" s="108"/>
      <c r="AA735" s="108"/>
      <c r="AB735" s="108"/>
    </row>
    <row r="736" spans="19:34" x14ac:dyDescent="0.25">
      <c r="S736" s="116"/>
      <c r="T736" s="108"/>
      <c r="U736" s="108"/>
      <c r="V736" s="108"/>
      <c r="W736" s="108"/>
      <c r="X736" s="108"/>
      <c r="Y736" s="108"/>
      <c r="Z736" s="108"/>
      <c r="AA736" s="108"/>
      <c r="AB736" s="108"/>
    </row>
    <row r="737" spans="19:34" x14ac:dyDescent="0.25">
      <c r="S737" s="116"/>
      <c r="T737" s="108"/>
      <c r="U737" s="108"/>
      <c r="V737" s="108"/>
      <c r="W737" s="108"/>
      <c r="X737" s="108"/>
      <c r="Y737" s="108"/>
      <c r="Z737" s="108"/>
      <c r="AA737" s="108"/>
      <c r="AB737" s="108"/>
    </row>
    <row r="738" spans="19:34" x14ac:dyDescent="0.25">
      <c r="S738" s="116"/>
      <c r="T738" s="108" t="s">
        <v>116</v>
      </c>
      <c r="U738" s="108">
        <v>0.98</v>
      </c>
      <c r="V738" s="108"/>
      <c r="W738" s="108"/>
      <c r="X738" s="108"/>
      <c r="Y738" s="108"/>
      <c r="Z738" s="108"/>
      <c r="AA738" s="108"/>
      <c r="AB738" s="108"/>
    </row>
    <row r="739" spans="19:34" x14ac:dyDescent="0.25">
      <c r="S739" s="116"/>
      <c r="T739" s="108" t="s">
        <v>106</v>
      </c>
      <c r="U739" s="143">
        <f>U732</f>
        <v>0</v>
      </c>
      <c r="V739" s="108" t="s">
        <v>117</v>
      </c>
      <c r="W739" s="108"/>
      <c r="X739" s="108"/>
      <c r="Y739" s="108"/>
      <c r="Z739" s="108"/>
      <c r="AA739" s="108"/>
      <c r="AB739" s="108"/>
    </row>
    <row r="740" spans="19:34" x14ac:dyDescent="0.25">
      <c r="S740" s="116"/>
      <c r="T740" s="108" t="s">
        <v>118</v>
      </c>
      <c r="U740" s="143">
        <f>C46+273.15</f>
        <v>273.14999999999998</v>
      </c>
      <c r="V740" s="108" t="s">
        <v>49</v>
      </c>
      <c r="W740" s="108"/>
      <c r="X740" s="108"/>
      <c r="Y740" s="108"/>
      <c r="Z740" s="108"/>
      <c r="AA740" s="108"/>
      <c r="AB740" s="108"/>
    </row>
    <row r="741" spans="19:34" x14ac:dyDescent="0.25">
      <c r="S741" s="116"/>
      <c r="T741" s="108"/>
      <c r="U741" s="108"/>
      <c r="V741" s="108"/>
      <c r="W741" s="108"/>
      <c r="X741" s="108"/>
      <c r="Y741" s="108"/>
      <c r="Z741" s="108"/>
      <c r="AA741" s="108"/>
      <c r="AB741" s="108"/>
    </row>
    <row r="742" spans="19:34" x14ac:dyDescent="0.25">
      <c r="S742" s="116"/>
      <c r="T742" s="108" t="s">
        <v>121</v>
      </c>
      <c r="U742" s="108" t="e">
        <f>(0.98*U731*U740)/U739</f>
        <v>#DIV/0!</v>
      </c>
      <c r="V742" s="108" t="s">
        <v>113</v>
      </c>
      <c r="W742" s="108"/>
      <c r="X742" s="108"/>
      <c r="Y742" s="108"/>
      <c r="Z742" s="108"/>
      <c r="AA742" s="108"/>
      <c r="AB742" s="108"/>
    </row>
    <row r="743" spans="19:34" x14ac:dyDescent="0.25">
      <c r="S743" s="116"/>
      <c r="T743" s="144"/>
      <c r="U743" s="145"/>
      <c r="V743" s="145"/>
      <c r="W743" s="116"/>
      <c r="X743" s="116"/>
      <c r="Y743" s="116"/>
      <c r="Z743" s="146"/>
      <c r="AA743" s="116"/>
      <c r="AB743" s="116"/>
      <c r="AC743" s="116"/>
      <c r="AD743" s="116"/>
      <c r="AE743" s="116"/>
      <c r="AF743" s="116"/>
      <c r="AG743" s="116"/>
      <c r="AH743" s="116"/>
    </row>
    <row r="744" spans="19:34" ht="15.75" thickBot="1" x14ac:dyDescent="0.3"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</row>
    <row r="745" spans="19:34" ht="15.75" thickBot="1" x14ac:dyDescent="0.3">
      <c r="S745" s="116"/>
      <c r="V745" s="162" t="s">
        <v>60</v>
      </c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4"/>
    </row>
    <row r="746" spans="19:34" x14ac:dyDescent="0.25">
      <c r="S746" s="116"/>
      <c r="Y746" s="175" t="s">
        <v>63</v>
      </c>
      <c r="Z746" s="175"/>
      <c r="AA746" s="175"/>
      <c r="AB746" s="175"/>
      <c r="AC746" s="175"/>
      <c r="AD746" s="175"/>
      <c r="AE746" s="175"/>
      <c r="AF746" s="175"/>
      <c r="AG746" s="175"/>
      <c r="AH746" s="175"/>
    </row>
    <row r="747" spans="19:34" ht="17.25" x14ac:dyDescent="0.25">
      <c r="S747" s="116">
        <v>24</v>
      </c>
      <c r="T747" s="70" t="s">
        <v>76</v>
      </c>
      <c r="U747" s="130" t="s">
        <v>77</v>
      </c>
      <c r="V747" s="70" t="s">
        <v>78</v>
      </c>
      <c r="W747" s="70" t="s">
        <v>79</v>
      </c>
      <c r="X747" s="70" t="s">
        <v>80</v>
      </c>
      <c r="Y747" s="131" t="s">
        <v>30</v>
      </c>
      <c r="Z747" s="131" t="s">
        <v>32</v>
      </c>
      <c r="AA747" s="131" t="s">
        <v>81</v>
      </c>
      <c r="AB747" s="131" t="s">
        <v>25</v>
      </c>
      <c r="AC747" s="131" t="s">
        <v>26</v>
      </c>
      <c r="AD747" s="131" t="s">
        <v>27</v>
      </c>
      <c r="AE747" s="131" t="s">
        <v>28</v>
      </c>
      <c r="AF747" s="131" t="s">
        <v>82</v>
      </c>
      <c r="AG747" s="131" t="s">
        <v>29</v>
      </c>
      <c r="AH747" s="132" t="s">
        <v>31</v>
      </c>
    </row>
    <row r="748" spans="19:34" x14ac:dyDescent="0.25">
      <c r="S748" s="116"/>
      <c r="T748" s="70">
        <f>K47</f>
        <v>0.89443624999999993</v>
      </c>
      <c r="U748" s="69">
        <f>+S8*T748</f>
        <v>2.3973640231866497E-5</v>
      </c>
      <c r="V748" s="69">
        <f>$T$748*T748</f>
        <v>0.80001620531406237</v>
      </c>
      <c r="W748" s="69">
        <f>$R$8*R8</f>
        <v>4.2845172623208805E-2</v>
      </c>
      <c r="X748" s="69">
        <f>SQRT(W748)</f>
        <v>0.20699075492207086</v>
      </c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</row>
    <row r="749" spans="19:34" x14ac:dyDescent="0.25">
      <c r="S749" s="116"/>
      <c r="T749" s="70">
        <f>M47</f>
        <v>4.7191249999999997E-2</v>
      </c>
      <c r="U749" s="69">
        <f t="shared" ref="U749:U757" si="219">+S9*T749</f>
        <v>1.91304731787157E-6</v>
      </c>
      <c r="V749" s="69">
        <f t="shared" ref="V749:V757" si="220">$T$748*T749</f>
        <v>4.2209564682812492E-2</v>
      </c>
      <c r="W749" s="69">
        <f t="shared" ref="W749:W757" si="221">$R$8*R9</f>
        <v>0.12918986849197683</v>
      </c>
      <c r="X749" s="69">
        <f t="shared" ref="X749:X757" si="222">SQRT(W749)</f>
        <v>0.35942992153127268</v>
      </c>
      <c r="Y749" s="70">
        <f t="shared" ref="Y749:Y757" si="223">(($T$748*T749)*SQRT($R$8*R9))*(1-B60)</f>
        <v>1.5210826111169185E-2</v>
      </c>
      <c r="Z749" s="70"/>
      <c r="AA749" s="70"/>
      <c r="AB749" s="70"/>
      <c r="AC749" s="70"/>
      <c r="AD749" s="70"/>
      <c r="AE749" s="70"/>
      <c r="AF749" s="70"/>
      <c r="AG749" s="70"/>
      <c r="AH749" s="70"/>
    </row>
    <row r="750" spans="19:34" x14ac:dyDescent="0.25">
      <c r="S750" s="116"/>
      <c r="T750" s="70">
        <f>+E47</f>
        <v>4.6500000000000005E-3</v>
      </c>
      <c r="U750" s="69">
        <f t="shared" si="219"/>
        <v>2.6187065789805578E-7</v>
      </c>
      <c r="V750" s="69">
        <f t="shared" si="220"/>
        <v>4.1591285625000004E-3</v>
      </c>
      <c r="W750" s="69">
        <f t="shared" si="221"/>
        <v>0.24193902239770376</v>
      </c>
      <c r="X750" s="69">
        <f t="shared" si="222"/>
        <v>0.49187297384355622</v>
      </c>
      <c r="Y750" s="70">
        <f t="shared" si="223"/>
        <v>2.0171222535496666E-3</v>
      </c>
      <c r="Z750" s="70">
        <f t="shared" ref="Z750:Z757" si="224">(($T$749*T750)*SQRT($R$9*R10))*(1-B61)</f>
        <v>1.848023924256826E-4</v>
      </c>
      <c r="AA750" s="70"/>
      <c r="AB750" s="70"/>
      <c r="AC750" s="70"/>
      <c r="AD750" s="70"/>
      <c r="AE750" s="70"/>
      <c r="AF750" s="70"/>
      <c r="AG750" s="70"/>
      <c r="AH750" s="70"/>
    </row>
    <row r="751" spans="19:34" x14ac:dyDescent="0.25">
      <c r="S751" s="116"/>
      <c r="T751" s="70">
        <f>+G47</f>
        <v>8.8374999999999999E-4</v>
      </c>
      <c r="U751" s="69">
        <f t="shared" si="219"/>
        <v>6.4022262405380506E-8</v>
      </c>
      <c r="V751" s="69">
        <f t="shared" si="220"/>
        <v>7.904580359374999E-4</v>
      </c>
      <c r="W751" s="69">
        <f t="shared" si="221"/>
        <v>0.39059496580954223</v>
      </c>
      <c r="X751" s="69">
        <f t="shared" si="222"/>
        <v>0.62497597218576506</v>
      </c>
      <c r="Y751" s="70">
        <f t="shared" si="223"/>
        <v>4.8137043712734794E-4</v>
      </c>
      <c r="Z751" s="70">
        <f t="shared" si="224"/>
        <v>4.4101644443010041E-5</v>
      </c>
      <c r="AA751" s="70">
        <f t="shared" ref="AA751:AA757" si="225">(($T$750*U751)*SQRT($R$10*S11))*(1-C62)</f>
        <v>2.7577971612902433E-12</v>
      </c>
      <c r="AB751" s="70"/>
      <c r="AC751" s="70"/>
      <c r="AD751" s="70"/>
      <c r="AE751" s="70"/>
      <c r="AF751" s="70"/>
      <c r="AG751" s="70"/>
      <c r="AH751" s="70"/>
    </row>
    <row r="752" spans="19:34" x14ac:dyDescent="0.25">
      <c r="S752" s="116"/>
      <c r="T752" s="70">
        <f>+F47</f>
        <v>5.058333333333335E-4</v>
      </c>
      <c r="U752" s="69">
        <f t="shared" si="219"/>
        <v>3.6658065239967677E-8</v>
      </c>
      <c r="V752" s="69">
        <f t="shared" si="220"/>
        <v>4.5243566979166679E-4</v>
      </c>
      <c r="W752" s="69">
        <f t="shared" si="221"/>
        <v>0.36453710099529019</v>
      </c>
      <c r="X752" s="69">
        <f t="shared" si="222"/>
        <v>0.60376907919774281</v>
      </c>
      <c r="Y752" s="70">
        <f t="shared" si="223"/>
        <v>2.6953355106530252E-4</v>
      </c>
      <c r="Z752" s="70">
        <f t="shared" si="224"/>
        <v>2.4693815651581347E-5</v>
      </c>
      <c r="AA752" s="70">
        <f t="shared" si="225"/>
        <v>1.5537876250326407E-12</v>
      </c>
      <c r="AB752" s="70">
        <f t="shared" ref="AB752:AB757" si="226">(($T$751*V752)*SQRT($R$11*T752))*(1-D63)</f>
        <v>1.2312387952760231E-8</v>
      </c>
      <c r="AC752" s="70"/>
      <c r="AD752" s="70"/>
      <c r="AE752" s="70"/>
      <c r="AF752" s="70"/>
      <c r="AG752" s="70"/>
      <c r="AH752" s="70"/>
    </row>
    <row r="753" spans="19:34" x14ac:dyDescent="0.25">
      <c r="S753" s="116"/>
      <c r="T753" s="70">
        <f>+I47</f>
        <v>2.2583333333333342E-4</v>
      </c>
      <c r="U753" s="69">
        <f t="shared" si="219"/>
        <v>2.0360805774252876E-8</v>
      </c>
      <c r="V753" s="69">
        <f t="shared" si="220"/>
        <v>2.0199351979166674E-4</v>
      </c>
      <c r="W753" s="69">
        <f t="shared" si="221"/>
        <v>0.57891172563229198</v>
      </c>
      <c r="X753" s="69">
        <f t="shared" si="222"/>
        <v>0.76086248799128742</v>
      </c>
      <c r="Y753" s="70">
        <f t="shared" si="223"/>
        <v>1.5454995206215502E-4</v>
      </c>
      <c r="Z753" s="70">
        <f t="shared" si="224"/>
        <v>1.4159380196267098E-5</v>
      </c>
      <c r="AA753" s="70">
        <f t="shared" si="225"/>
        <v>9.7191628411505055E-13</v>
      </c>
      <c r="AB753" s="70">
        <f t="shared" si="226"/>
        <v>3.6441908187141026E-9</v>
      </c>
      <c r="AC753" s="70">
        <f>(($T$752*W753)*SQRT($R$12*U753))*(1-E64)</f>
        <v>5.5451419128992321E-8</v>
      </c>
      <c r="AD753" s="70"/>
      <c r="AE753" s="70"/>
      <c r="AF753" s="70"/>
      <c r="AG753" s="70"/>
      <c r="AH753" s="70"/>
    </row>
    <row r="754" spans="19:34" x14ac:dyDescent="0.25">
      <c r="S754" s="116"/>
      <c r="T754" s="70">
        <f>+H47</f>
        <v>2.2541666666666671E-4</v>
      </c>
      <c r="U754" s="69">
        <f t="shared" si="219"/>
        <v>1.9861904758910156E-8</v>
      </c>
      <c r="V754" s="69">
        <f t="shared" si="220"/>
        <v>2.0162083802083335E-4</v>
      </c>
      <c r="W754" s="69">
        <f t="shared" si="221"/>
        <v>0.54235185847350886</v>
      </c>
      <c r="X754" s="69">
        <f t="shared" si="222"/>
        <v>0.73644542124553181</v>
      </c>
      <c r="Y754" s="70">
        <f t="shared" si="223"/>
        <v>1.4506763989940278E-4</v>
      </c>
      <c r="Z754" s="70">
        <f t="shared" si="224"/>
        <v>1.3290640599388414E-5</v>
      </c>
      <c r="AA754" s="70">
        <f t="shared" si="225"/>
        <v>9.2996797457678763E-13</v>
      </c>
      <c r="AB754" s="70">
        <f t="shared" si="226"/>
        <v>3.576781610056432E-9</v>
      </c>
      <c r="AC754" s="70">
        <f>(($T$752*W754)*SQRT($R$12*U754))*(1-E65)</f>
        <v>5.1309102585299958E-8</v>
      </c>
      <c r="AD754" s="70">
        <f>(($T$753*X754)*SQRT($R$13*V754))*(1-F65)</f>
        <v>3.9493626784030879E-6</v>
      </c>
      <c r="AE754" s="70"/>
      <c r="AF754" s="70"/>
      <c r="AG754" s="70"/>
      <c r="AH754" s="70"/>
    </row>
    <row r="755" spans="19:34" x14ac:dyDescent="0.25">
      <c r="S755" s="116"/>
      <c r="T755" s="70">
        <f>+D47</f>
        <v>4.0083333333333355E-4</v>
      </c>
      <c r="U755" s="69">
        <f t="shared" si="219"/>
        <v>4.3508721495707129E-8</v>
      </c>
      <c r="V755" s="69">
        <f t="shared" si="220"/>
        <v>3.5851986354166684E-4</v>
      </c>
      <c r="W755" s="69">
        <f t="shared" si="221"/>
        <v>0.8050809492880614</v>
      </c>
      <c r="X755" s="69">
        <f t="shared" si="222"/>
        <v>0.89726303238685889</v>
      </c>
      <c r="Y755" s="70">
        <f t="shared" si="223"/>
        <v>3.0811144457117503E-4</v>
      </c>
      <c r="Z755" s="70">
        <f t="shared" si="224"/>
        <v>2.8228200839232989E-5</v>
      </c>
      <c r="AA755" s="70">
        <f t="shared" si="225"/>
        <v>2.3016240165678016E-12</v>
      </c>
      <c r="AB755" s="70">
        <f t="shared" si="226"/>
        <v>8.7077970473149105E-9</v>
      </c>
      <c r="AC755" s="70">
        <f>(($T$752*W755)*SQRT($R$12*U755))*(1-E66)</f>
        <v>1.1272767490021828E-7</v>
      </c>
      <c r="AD755" s="70">
        <f>(($T$753*X755)*SQRT($R$13*V755))*(1-F66)</f>
        <v>6.4523868073532538E-6</v>
      </c>
      <c r="AE755" s="70">
        <f>(($T$754*Y755)*SQRT($R$14*W755))*(1-G66)</f>
        <v>1.0087387880961446E-7</v>
      </c>
      <c r="AF755" s="70"/>
      <c r="AG755" s="70"/>
      <c r="AH755" s="70"/>
    </row>
    <row r="756" spans="19:34" x14ac:dyDescent="0.25">
      <c r="S756" s="116"/>
      <c r="T756" s="70">
        <f>+J47</f>
        <v>5.020666666666667E-2</v>
      </c>
      <c r="U756" s="69">
        <f t="shared" si="219"/>
        <v>1.2054746538264932E-6</v>
      </c>
      <c r="V756" s="69">
        <f t="shared" si="220"/>
        <v>4.4906662658333332E-2</v>
      </c>
      <c r="W756" s="69">
        <f t="shared" si="221"/>
        <v>1.8651528335962096E-2</v>
      </c>
      <c r="X756" s="69">
        <f t="shared" si="222"/>
        <v>0.13657059835836591</v>
      </c>
      <c r="Y756" s="70">
        <f t="shared" si="223"/>
        <v>5.9421956730716149E-3</v>
      </c>
      <c r="Z756" s="70">
        <f t="shared" si="224"/>
        <v>5.4440526582497247E-4</v>
      </c>
      <c r="AA756" s="70">
        <f t="shared" si="225"/>
        <v>2.8165937121123028E-11</v>
      </c>
      <c r="AB756" s="70">
        <f t="shared" si="226"/>
        <v>1.1174675079857663E-5</v>
      </c>
      <c r="AC756" s="70">
        <f>(($T$752*W756)*SQRT($R$12*U756))*(1-E67)</f>
        <v>1.232660485599075E-8</v>
      </c>
      <c r="AD756" s="70">
        <f>(($T$753*X756)*SQRT($R$13*V756))*(1-F67)</f>
        <v>1.0055858961603315E-5</v>
      </c>
      <c r="AE756" s="70">
        <f>(($T$754*Y756)*SQRT($R$14*W756))*(1-G67)</f>
        <v>2.6881002104628776E-7</v>
      </c>
      <c r="AF756" s="70">
        <f>(($T$755*Z756)*SQRT($R$15*X756))*(1-H67)</f>
        <v>1.4313688574179543E-7</v>
      </c>
      <c r="AG756" s="70"/>
      <c r="AH756" s="70"/>
    </row>
    <row r="757" spans="19:34" x14ac:dyDescent="0.25">
      <c r="S757" s="116"/>
      <c r="T757" s="70">
        <f>L47</f>
        <v>1.2762499999999998E-3</v>
      </c>
      <c r="U757" s="69">
        <f t="shared" si="219"/>
        <v>3.4016735233862234E-8</v>
      </c>
      <c r="V757" s="69">
        <f t="shared" si="220"/>
        <v>1.1415242640624998E-3</v>
      </c>
      <c r="W757" s="69">
        <f t="shared" si="221"/>
        <v>8.5334097849090448E-2</v>
      </c>
      <c r="X757" s="69">
        <f t="shared" si="222"/>
        <v>0.29212000590355064</v>
      </c>
      <c r="Y757" s="70">
        <f t="shared" si="223"/>
        <v>3.0281691008681691E-4</v>
      </c>
      <c r="Z757" s="70">
        <f t="shared" si="224"/>
        <v>2.7743132253148122E-5</v>
      </c>
      <c r="AA757" s="70">
        <f t="shared" si="225"/>
        <v>7.6616295993688387E-13</v>
      </c>
      <c r="AB757" s="70">
        <f t="shared" si="226"/>
        <v>4.3363549554017353E-8</v>
      </c>
      <c r="AC757" s="70">
        <f>(($T$752*W757)*SQRT($R$12*U757))*(1-E68)</f>
        <v>9.2972482424480472E-9</v>
      </c>
      <c r="AD757" s="70">
        <f>(($T$753*X757)*SQRT($R$13*V757))*(1-F68)</f>
        <v>3.2306611903618693E-6</v>
      </c>
      <c r="AE757" s="70">
        <f>(($T$754*Y757)*SQRT($R$14*W757))*(1-G68)</f>
        <v>2.5208300876674097E-8</v>
      </c>
      <c r="AF757" s="70">
        <f>(($T$755*Z757)*SQRT($R$15*X757))*(1-H68)</f>
        <v>1.0404946467970449E-8</v>
      </c>
      <c r="AG757" s="70">
        <f>(($T$756*AA757)*SQRT($R$16*Y757))*(1-I68)</f>
        <v>1.7883163500951661E-16</v>
      </c>
      <c r="AH757" s="70"/>
    </row>
    <row r="758" spans="19:34" x14ac:dyDescent="0.25">
      <c r="S758" s="116"/>
      <c r="T758" s="130" t="s">
        <v>77</v>
      </c>
      <c r="U758" s="133">
        <f>SUM(U748:U757)</f>
        <v>2.7572461356370695E-5</v>
      </c>
      <c r="V758" s="108"/>
      <c r="W758" s="108"/>
      <c r="X758" s="108"/>
      <c r="Y758" s="70">
        <f>SUM(Y749:Y757)</f>
        <v>2.4831593972602664E-2</v>
      </c>
      <c r="Z758" s="70">
        <f t="shared" ref="Z758:AG758" si="227">SUM(Z749:Z757)</f>
        <v>8.8142447223328309E-4</v>
      </c>
      <c r="AA758" s="70">
        <f t="shared" si="227"/>
        <v>3.7447193142642442E-11</v>
      </c>
      <c r="AB758" s="70">
        <f t="shared" si="227"/>
        <v>1.1246279786840526E-5</v>
      </c>
      <c r="AC758" s="70">
        <f t="shared" si="227"/>
        <v>2.4111204971294931E-7</v>
      </c>
      <c r="AD758" s="70">
        <f t="shared" si="227"/>
        <v>2.3688269637721528E-5</v>
      </c>
      <c r="AE758" s="70">
        <f t="shared" si="227"/>
        <v>3.9489220073257629E-7</v>
      </c>
      <c r="AF758" s="70">
        <f t="shared" si="227"/>
        <v>1.5354183220976587E-7</v>
      </c>
      <c r="AG758" s="70">
        <f t="shared" si="227"/>
        <v>1.7883163500951661E-16</v>
      </c>
      <c r="AH758" s="130">
        <f>SUM(Y758:AG758)</f>
        <v>2.5748742577790539E-2</v>
      </c>
    </row>
    <row r="759" spans="19:34" x14ac:dyDescent="0.25">
      <c r="S759" s="116"/>
    </row>
    <row r="760" spans="19:34" x14ac:dyDescent="0.25">
      <c r="S760" s="116"/>
      <c r="T760" s="112" t="s">
        <v>99</v>
      </c>
      <c r="U760" s="108"/>
      <c r="V760" s="108"/>
      <c r="W760" s="108"/>
      <c r="X760" s="108"/>
      <c r="Y760" s="108"/>
      <c r="Z760" s="108"/>
      <c r="AA760" s="108"/>
      <c r="AB760" s="108"/>
    </row>
    <row r="761" spans="19:34" x14ac:dyDescent="0.25">
      <c r="S761" s="116"/>
      <c r="T761" s="137" t="s">
        <v>100</v>
      </c>
      <c r="U761" s="138">
        <f>+AH758</f>
        <v>2.5748742577790539E-2</v>
      </c>
      <c r="V761" s="138" t="s">
        <v>101</v>
      </c>
      <c r="W761" s="139"/>
      <c r="X761" s="108"/>
      <c r="Y761" s="108"/>
      <c r="Z761" s="108"/>
      <c r="AA761" s="108"/>
      <c r="AB761" s="108"/>
    </row>
    <row r="762" spans="19:34" x14ac:dyDescent="0.25">
      <c r="S762" s="116"/>
      <c r="T762" s="137" t="s">
        <v>103</v>
      </c>
      <c r="U762" s="138">
        <f>+U758</f>
        <v>2.7572461356370695E-5</v>
      </c>
      <c r="V762" s="138" t="s">
        <v>101</v>
      </c>
      <c r="W762" s="108"/>
      <c r="X762" s="108"/>
      <c r="Y762" s="108"/>
      <c r="Z762" s="140" t="e">
        <f>(U766*U766)+(2*U762*U766)-(U762*U762)</f>
        <v>#DIV/0!</v>
      </c>
      <c r="AA762" s="108"/>
      <c r="AB762" s="108"/>
    </row>
    <row r="763" spans="19:34" x14ac:dyDescent="0.25">
      <c r="S763" s="116"/>
      <c r="T763" s="137" t="s">
        <v>104</v>
      </c>
      <c r="U763" s="138">
        <v>8.3145100000000003</v>
      </c>
      <c r="V763" s="138" t="s">
        <v>105</v>
      </c>
      <c r="W763" s="108"/>
      <c r="X763" s="108"/>
      <c r="Y763" s="108"/>
      <c r="Z763" s="140"/>
      <c r="AA763" s="108"/>
      <c r="AB763" s="108"/>
    </row>
    <row r="764" spans="19:34" x14ac:dyDescent="0.25">
      <c r="S764" s="116"/>
      <c r="T764" s="137" t="s">
        <v>106</v>
      </c>
      <c r="U764" s="141">
        <f>B47*98066.5</f>
        <v>0</v>
      </c>
      <c r="V764" s="142" t="s">
        <v>107</v>
      </c>
      <c r="W764" s="108"/>
      <c r="X764" s="108"/>
      <c r="Y764" s="108"/>
      <c r="Z764" s="140" t="e">
        <f>U761/Z762</f>
        <v>#DIV/0!</v>
      </c>
      <c r="AA764" s="108"/>
      <c r="AB764" s="108"/>
    </row>
    <row r="765" spans="19:34" x14ac:dyDescent="0.25">
      <c r="S765" s="116"/>
      <c r="T765" s="137" t="s">
        <v>108</v>
      </c>
      <c r="U765" s="141" t="s">
        <v>109</v>
      </c>
      <c r="V765" s="138" t="s">
        <v>110</v>
      </c>
      <c r="W765" s="108"/>
      <c r="X765" s="108"/>
      <c r="Y765" s="108"/>
      <c r="Z765" s="140"/>
      <c r="AA765" s="108"/>
      <c r="AB765" s="108"/>
    </row>
    <row r="766" spans="19:34" x14ac:dyDescent="0.25">
      <c r="S766" s="116"/>
      <c r="T766" s="137" t="s">
        <v>112</v>
      </c>
      <c r="U766" s="138" t="e">
        <f>+U774</f>
        <v>#DIV/0!</v>
      </c>
      <c r="V766" s="138" t="s">
        <v>113</v>
      </c>
      <c r="W766" s="108"/>
      <c r="X766" s="108"/>
      <c r="Y766" s="108"/>
      <c r="Z766" s="140" t="e">
        <f>U766-U762</f>
        <v>#DIV/0!</v>
      </c>
      <c r="AA766" s="108"/>
      <c r="AB766" s="108"/>
    </row>
    <row r="767" spans="19:34" x14ac:dyDescent="0.25">
      <c r="S767" s="116"/>
      <c r="T767" s="108"/>
      <c r="U767" s="108"/>
      <c r="V767" s="108"/>
      <c r="W767" s="108"/>
      <c r="X767" s="108"/>
      <c r="Y767" s="108"/>
      <c r="Z767" s="108"/>
      <c r="AA767" s="108"/>
      <c r="AB767" s="108"/>
    </row>
    <row r="768" spans="19:34" x14ac:dyDescent="0.25">
      <c r="S768" s="116"/>
      <c r="T768" s="108"/>
      <c r="U768" s="108"/>
      <c r="V768" s="108"/>
      <c r="W768" s="108"/>
      <c r="X768" s="108"/>
      <c r="Y768" s="108"/>
      <c r="Z768" s="108"/>
      <c r="AA768" s="108"/>
      <c r="AB768" s="108"/>
    </row>
    <row r="769" spans="19:34" x14ac:dyDescent="0.25">
      <c r="S769" s="116"/>
      <c r="T769" s="108"/>
      <c r="U769" s="108"/>
      <c r="V769" s="108"/>
      <c r="W769" s="108"/>
      <c r="X769" s="108"/>
      <c r="Y769" s="108"/>
      <c r="Z769" s="108"/>
      <c r="AA769" s="108"/>
      <c r="AB769" s="108"/>
    </row>
    <row r="770" spans="19:34" x14ac:dyDescent="0.25">
      <c r="S770" s="116"/>
      <c r="T770" s="108" t="s">
        <v>116</v>
      </c>
      <c r="U770" s="108">
        <v>0.98</v>
      </c>
      <c r="V770" s="108"/>
      <c r="W770" s="108"/>
      <c r="X770" s="108"/>
      <c r="Y770" s="108"/>
      <c r="Z770" s="108"/>
      <c r="AA770" s="108"/>
      <c r="AB770" s="108"/>
    </row>
    <row r="771" spans="19:34" x14ac:dyDescent="0.25">
      <c r="S771" s="116"/>
      <c r="T771" s="108" t="s">
        <v>106</v>
      </c>
      <c r="U771" s="143">
        <f>U764</f>
        <v>0</v>
      </c>
      <c r="V771" s="108" t="s">
        <v>117</v>
      </c>
      <c r="W771" s="108"/>
      <c r="X771" s="108"/>
      <c r="Y771" s="108"/>
      <c r="Z771" s="108"/>
      <c r="AA771" s="108"/>
      <c r="AB771" s="108"/>
    </row>
    <row r="772" spans="19:34" x14ac:dyDescent="0.25">
      <c r="S772" s="116"/>
      <c r="T772" s="108" t="s">
        <v>118</v>
      </c>
      <c r="U772" s="143">
        <f>C47+273.15</f>
        <v>273.14999999999998</v>
      </c>
      <c r="V772" s="108" t="s">
        <v>49</v>
      </c>
      <c r="W772" s="108"/>
      <c r="X772" s="108"/>
      <c r="Y772" s="108"/>
      <c r="Z772" s="108"/>
      <c r="AA772" s="108"/>
      <c r="AB772" s="108"/>
    </row>
    <row r="773" spans="19:34" x14ac:dyDescent="0.25">
      <c r="S773" s="116"/>
      <c r="T773" s="108"/>
      <c r="U773" s="108"/>
      <c r="V773" s="108"/>
      <c r="W773" s="108"/>
      <c r="X773" s="108"/>
      <c r="Y773" s="108"/>
      <c r="Z773" s="108"/>
      <c r="AA773" s="108"/>
      <c r="AB773" s="108"/>
    </row>
    <row r="774" spans="19:34" x14ac:dyDescent="0.25">
      <c r="S774" s="116"/>
      <c r="T774" s="108" t="s">
        <v>121</v>
      </c>
      <c r="U774" s="108" t="e">
        <f>(0.98*U763*U772)/U771</f>
        <v>#DIV/0!</v>
      </c>
      <c r="V774" s="108" t="s">
        <v>113</v>
      </c>
      <c r="W774" s="108"/>
      <c r="X774" s="108"/>
      <c r="Y774" s="108"/>
      <c r="Z774" s="108"/>
      <c r="AA774" s="108"/>
      <c r="AB774" s="108"/>
    </row>
    <row r="775" spans="19:34" x14ac:dyDescent="0.25">
      <c r="S775" s="116"/>
      <c r="T775" s="144"/>
      <c r="U775" s="145"/>
      <c r="V775" s="145"/>
      <c r="W775" s="116"/>
      <c r="X775" s="116"/>
      <c r="Y775" s="116"/>
      <c r="Z775" s="146"/>
      <c r="AA775" s="116"/>
      <c r="AB775" s="116"/>
      <c r="AC775" s="116"/>
      <c r="AD775" s="116"/>
      <c r="AE775" s="116"/>
      <c r="AF775" s="116"/>
      <c r="AG775" s="116"/>
      <c r="AH775" s="116"/>
    </row>
    <row r="776" spans="19:34" ht="15.75" thickBot="1" x14ac:dyDescent="0.3">
      <c r="S776" s="116"/>
      <c r="T776" s="144"/>
      <c r="U776" s="145"/>
      <c r="V776" s="145"/>
      <c r="W776" s="116"/>
      <c r="X776" s="116"/>
      <c r="Y776" s="116"/>
      <c r="Z776" s="146"/>
      <c r="AA776" s="116"/>
      <c r="AB776" s="116"/>
      <c r="AC776" s="116"/>
      <c r="AD776" s="116"/>
      <c r="AE776" s="116"/>
      <c r="AF776" s="116"/>
      <c r="AG776" s="116"/>
      <c r="AH776" s="116"/>
    </row>
    <row r="777" spans="19:34" ht="15.75" thickBot="1" x14ac:dyDescent="0.3">
      <c r="S777" s="116"/>
      <c r="V777" s="162" t="s">
        <v>60</v>
      </c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3"/>
      <c r="AG777" s="163"/>
      <c r="AH777" s="164"/>
    </row>
    <row r="778" spans="19:34" x14ac:dyDescent="0.25">
      <c r="S778" s="116"/>
      <c r="Y778" s="175" t="s">
        <v>63</v>
      </c>
      <c r="Z778" s="175"/>
      <c r="AA778" s="175"/>
      <c r="AB778" s="175"/>
      <c r="AC778" s="175"/>
      <c r="AD778" s="175"/>
      <c r="AE778" s="175"/>
      <c r="AF778" s="175"/>
      <c r="AG778" s="175"/>
      <c r="AH778" s="175"/>
    </row>
    <row r="779" spans="19:34" ht="17.25" x14ac:dyDescent="0.25">
      <c r="S779" s="116">
        <v>25</v>
      </c>
      <c r="T779" s="70" t="s">
        <v>76</v>
      </c>
      <c r="U779" s="130" t="s">
        <v>77</v>
      </c>
      <c r="V779" s="70" t="s">
        <v>78</v>
      </c>
      <c r="W779" s="70" t="s">
        <v>79</v>
      </c>
      <c r="X779" s="70" t="s">
        <v>80</v>
      </c>
      <c r="Y779" s="131" t="s">
        <v>30</v>
      </c>
      <c r="Z779" s="131" t="s">
        <v>32</v>
      </c>
      <c r="AA779" s="131" t="s">
        <v>81</v>
      </c>
      <c r="AB779" s="131" t="s">
        <v>25</v>
      </c>
      <c r="AC779" s="131" t="s">
        <v>26</v>
      </c>
      <c r="AD779" s="131" t="s">
        <v>27</v>
      </c>
      <c r="AE779" s="131" t="s">
        <v>28</v>
      </c>
      <c r="AF779" s="131" t="s">
        <v>82</v>
      </c>
      <c r="AG779" s="131" t="s">
        <v>29</v>
      </c>
      <c r="AH779" s="132" t="s">
        <v>31</v>
      </c>
    </row>
    <row r="780" spans="19:34" x14ac:dyDescent="0.25">
      <c r="S780" s="116"/>
      <c r="T780" s="70">
        <f>K48</f>
        <v>0.89595541666666678</v>
      </c>
      <c r="U780" s="69">
        <f>+S8*T780</f>
        <v>2.4014358567151896E-5</v>
      </c>
      <c r="V780" s="69">
        <f>$T$780*T780</f>
        <v>0.80273610865434053</v>
      </c>
      <c r="W780" s="69">
        <f>$R$8*R8</f>
        <v>4.2845172623208805E-2</v>
      </c>
      <c r="X780" s="69">
        <f>SQRT(W780)</f>
        <v>0.20699075492207086</v>
      </c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</row>
    <row r="781" spans="19:34" x14ac:dyDescent="0.25">
      <c r="S781" s="116"/>
      <c r="T781" s="70">
        <f>M48</f>
        <v>4.9859999999999995E-2</v>
      </c>
      <c r="U781" s="69">
        <f>+S9*T781</f>
        <v>2.0212335818414747E-6</v>
      </c>
      <c r="V781" s="69">
        <f t="shared" ref="V781:V789" si="228">$T$780*T781</f>
        <v>4.4672337074999999E-2</v>
      </c>
      <c r="W781" s="69">
        <f t="shared" ref="W781:W789" si="229">$R$8*R9</f>
        <v>0.12918986849197683</v>
      </c>
      <c r="X781" s="69">
        <f t="shared" ref="X781:X789" si="230">SQRT(W781)</f>
        <v>0.35942992153127268</v>
      </c>
      <c r="Y781" s="70">
        <f t="shared" ref="Y781:Y789" si="231">(($T$780*T781)*SQRT($R$8*R9))*(1-B60)</f>
        <v>1.6098321703470475E-2</v>
      </c>
      <c r="Z781" s="70"/>
      <c r="AA781" s="70"/>
      <c r="AB781" s="70"/>
      <c r="AC781" s="70"/>
      <c r="AD781" s="70"/>
      <c r="AE781" s="70"/>
      <c r="AF781" s="70"/>
      <c r="AG781" s="70"/>
      <c r="AH781" s="70"/>
    </row>
    <row r="782" spans="19:34" x14ac:dyDescent="0.25">
      <c r="S782" s="116"/>
      <c r="T782" s="70">
        <f>+E48</f>
        <v>3.6754166666666658E-3</v>
      </c>
      <c r="U782" s="69">
        <f t="shared" ref="U782:U789" si="232">+S10*T782</f>
        <v>2.0698575925795245E-7</v>
      </c>
      <c r="V782" s="69">
        <f t="shared" si="228"/>
        <v>3.2930094710069439E-3</v>
      </c>
      <c r="W782" s="69">
        <f t="shared" si="229"/>
        <v>0.24193902239770376</v>
      </c>
      <c r="X782" s="69">
        <f t="shared" si="230"/>
        <v>0.49187297384355622</v>
      </c>
      <c r="Y782" s="70">
        <f t="shared" si="231"/>
        <v>1.5970659683395929E-3</v>
      </c>
      <c r="Z782" s="70">
        <f t="shared" ref="Z782:Z789" si="233">(($T$781*T782)*SQRT($R$9*R10))*(1-B61)</f>
        <v>1.5433058762895455E-4</v>
      </c>
      <c r="AA782" s="70"/>
      <c r="AB782" s="70"/>
      <c r="AC782" s="70"/>
      <c r="AD782" s="70"/>
      <c r="AE782" s="70"/>
      <c r="AF782" s="70"/>
      <c r="AG782" s="70"/>
      <c r="AH782" s="70"/>
    </row>
    <row r="783" spans="19:34" x14ac:dyDescent="0.25">
      <c r="S783" s="116"/>
      <c r="T783" s="70">
        <f>+G48</f>
        <v>6.2208333333333343E-4</v>
      </c>
      <c r="U783" s="69">
        <f>+S11*T783</f>
        <v>4.5066118704023153E-8</v>
      </c>
      <c r="V783" s="69">
        <f t="shared" si="228"/>
        <v>5.5735893211805569E-4</v>
      </c>
      <c r="W783" s="69">
        <f t="shared" si="229"/>
        <v>0.39059496580954223</v>
      </c>
      <c r="X783" s="69">
        <f t="shared" si="230"/>
        <v>0.62497597218576506</v>
      </c>
      <c r="Y783" s="70">
        <f t="shared" si="231"/>
        <v>3.3941854038120497E-4</v>
      </c>
      <c r="Z783" s="70">
        <f t="shared" si="233"/>
        <v>3.2799310628134931E-5</v>
      </c>
      <c r="AA783" s="70">
        <f t="shared" ref="AA783:AA789" si="234">(($T$782*U783)*SQRT($R$10*S11))*(1-C62)</f>
        <v>1.5343876239437699E-12</v>
      </c>
      <c r="AB783" s="70"/>
      <c r="AC783" s="70"/>
      <c r="AD783" s="70"/>
      <c r="AE783" s="70"/>
      <c r="AF783" s="70"/>
      <c r="AG783" s="70"/>
      <c r="AH783" s="70"/>
    </row>
    <row r="784" spans="19:34" x14ac:dyDescent="0.25">
      <c r="S784" s="116"/>
      <c r="T784" s="70">
        <f>+F48</f>
        <v>3.7458333333333359E-4</v>
      </c>
      <c r="U784" s="69">
        <f t="shared" si="232"/>
        <v>2.7146293781491726E-8</v>
      </c>
      <c r="V784" s="69">
        <f t="shared" si="228"/>
        <v>3.3560996649305584E-4</v>
      </c>
      <c r="W784" s="69">
        <f t="shared" si="229"/>
        <v>0.36453710099529019</v>
      </c>
      <c r="X784" s="69">
        <f t="shared" si="230"/>
        <v>0.60376907919774281</v>
      </c>
      <c r="Y784" s="70">
        <f t="shared" si="231"/>
        <v>1.9993592919725765E-4</v>
      </c>
      <c r="Z784" s="70">
        <f t="shared" si="233"/>
        <v>1.9320572883557112E-5</v>
      </c>
      <c r="AA784" s="70">
        <f t="shared" si="234"/>
        <v>9.0946562916889715E-13</v>
      </c>
      <c r="AB784" s="70">
        <f t="shared" ref="AB784:AB789" si="235">(($T$783*V784)*SQRT($R$11*T784))*(1-D63)</f>
        <v>5.5323537917426305E-9</v>
      </c>
      <c r="AC784" s="70"/>
      <c r="AD784" s="70"/>
      <c r="AE784" s="70"/>
      <c r="AF784" s="70"/>
      <c r="AG784" s="70"/>
      <c r="AH784" s="70"/>
    </row>
    <row r="785" spans="19:34" x14ac:dyDescent="0.25">
      <c r="S785" s="116"/>
      <c r="T785" s="70">
        <f>+I48</f>
        <v>1.491666666666667E-4</v>
      </c>
      <c r="U785" s="69">
        <f t="shared" si="232"/>
        <v>1.3448650308454848E-8</v>
      </c>
      <c r="V785" s="69">
        <f t="shared" si="228"/>
        <v>1.3364668298611115E-4</v>
      </c>
      <c r="W785" s="69">
        <f t="shared" si="229"/>
        <v>0.57891172563229198</v>
      </c>
      <c r="X785" s="69">
        <f t="shared" si="230"/>
        <v>0.76086248799128742</v>
      </c>
      <c r="Y785" s="70">
        <f t="shared" si="231"/>
        <v>1.0225619351587553E-4</v>
      </c>
      <c r="Z785" s="70">
        <f t="shared" si="233"/>
        <v>9.881406746405299E-6</v>
      </c>
      <c r="AA785" s="70">
        <f t="shared" si="234"/>
        <v>5.074184171361925E-13</v>
      </c>
      <c r="AB785" s="70">
        <f t="shared" si="235"/>
        <v>1.3793766381496439E-9</v>
      </c>
      <c r="AC785" s="70">
        <f>(($T$784*W785)*SQRT($R$12*U785))*(1-E64)</f>
        <v>3.33730224239553E-8</v>
      </c>
      <c r="AD785" s="70"/>
      <c r="AE785" s="70"/>
      <c r="AF785" s="70"/>
      <c r="AG785" s="70"/>
      <c r="AH785" s="70"/>
    </row>
    <row r="786" spans="19:34" x14ac:dyDescent="0.25">
      <c r="S786" s="116"/>
      <c r="T786" s="70">
        <f>+H48</f>
        <v>1.5416666666666674E-4</v>
      </c>
      <c r="U786" s="69">
        <f t="shared" si="232"/>
        <v>1.358392746912525E-8</v>
      </c>
      <c r="V786" s="69">
        <f t="shared" si="228"/>
        <v>1.3812646006944454E-4</v>
      </c>
      <c r="W786" s="69">
        <f t="shared" si="229"/>
        <v>0.54235185847350886</v>
      </c>
      <c r="X786" s="69">
        <f t="shared" si="230"/>
        <v>0.73644542124553181</v>
      </c>
      <c r="Y786" s="70">
        <f t="shared" si="231"/>
        <v>9.9382979292363298E-5</v>
      </c>
      <c r="Z786" s="70">
        <f t="shared" si="233"/>
        <v>9.6037570761418179E-6</v>
      </c>
      <c r="AA786" s="70">
        <f t="shared" si="234"/>
        <v>5.0271990280584909E-13</v>
      </c>
      <c r="AB786" s="70">
        <f t="shared" si="235"/>
        <v>1.4264457483443166E-9</v>
      </c>
      <c r="AC786" s="70">
        <f>(($T$784*W786)*SQRT($R$12*U786))*(1-E65)</f>
        <v>3.1422277032310628E-8</v>
      </c>
      <c r="AD786" s="70">
        <f>(($T$785*X786)*SQRT($R$13*V786))*(1-F65)</f>
        <v>2.1591434195424639E-6</v>
      </c>
      <c r="AE786" s="70"/>
      <c r="AF786" s="70"/>
      <c r="AG786" s="70"/>
      <c r="AH786" s="70"/>
    </row>
    <row r="787" spans="19:34" x14ac:dyDescent="0.25">
      <c r="S787" s="116"/>
      <c r="T787" s="70">
        <f>+D48</f>
        <v>2.6750000000000011E-4</v>
      </c>
      <c r="U787" s="69">
        <f t="shared" si="232"/>
        <v>2.9035965904619513E-8</v>
      </c>
      <c r="V787" s="69">
        <f t="shared" si="228"/>
        <v>2.3966807395833345E-4</v>
      </c>
      <c r="W787" s="69">
        <f t="shared" si="229"/>
        <v>0.8050809492880614</v>
      </c>
      <c r="X787" s="69">
        <f t="shared" si="230"/>
        <v>0.89726303238685889</v>
      </c>
      <c r="Y787" s="70">
        <f t="shared" si="231"/>
        <v>2.0597039102775174E-4</v>
      </c>
      <c r="Z787" s="70">
        <f t="shared" si="233"/>
        <v>1.9903705990634025E-5</v>
      </c>
      <c r="AA787" s="70">
        <f t="shared" si="234"/>
        <v>1.2140818429154475E-12</v>
      </c>
      <c r="AB787" s="70">
        <f t="shared" si="235"/>
        <v>3.3473750822455465E-9</v>
      </c>
      <c r="AC787" s="70">
        <f>(($T$784*W787)*SQRT($R$12*U787))*(1-E66)</f>
        <v>6.819484277272438E-8</v>
      </c>
      <c r="AD787" s="70">
        <f>(($T$785*X787)*SQRT($R$13*V787))*(1-F66)</f>
        <v>3.4845974648828453E-6</v>
      </c>
      <c r="AE787" s="70">
        <f>(($T$786*Y787)*SQRT($R$14*W787))*(1-G66)</f>
        <v>4.6119027722316388E-8</v>
      </c>
      <c r="AF787" s="70"/>
      <c r="AG787" s="70"/>
      <c r="AH787" s="70"/>
    </row>
    <row r="788" spans="19:34" x14ac:dyDescent="0.25">
      <c r="S788" s="116"/>
      <c r="T788" s="70">
        <f>+J48</f>
        <v>4.7673750000000001E-2</v>
      </c>
      <c r="U788" s="69">
        <f t="shared" si="232"/>
        <v>1.1446586896400369E-6</v>
      </c>
      <c r="V788" s="69">
        <f t="shared" si="228"/>
        <v>4.2713554545312504E-2</v>
      </c>
      <c r="W788" s="69">
        <f t="shared" si="229"/>
        <v>1.8651528335962096E-2</v>
      </c>
      <c r="X788" s="69">
        <f t="shared" si="230"/>
        <v>0.13657059835836591</v>
      </c>
      <c r="Y788" s="70">
        <f t="shared" si="231"/>
        <v>5.6519964739255553E-3</v>
      </c>
      <c r="Z788" s="70">
        <f t="shared" si="233"/>
        <v>5.4617401809931563E-4</v>
      </c>
      <c r="AA788" s="70">
        <f t="shared" si="234"/>
        <v>2.1139551015710354E-11</v>
      </c>
      <c r="AB788" s="70">
        <f t="shared" si="235"/>
        <v>7.2906783757528712E-6</v>
      </c>
      <c r="AC788" s="70">
        <f>(($T$784*W788)*SQRT($R$12*U788))*(1-E67)</f>
        <v>8.8949485923710982E-9</v>
      </c>
      <c r="AD788" s="70">
        <f>(($T$785*X788)*SQRT($R$13*V788))*(1-F67)</f>
        <v>6.4778424380433808E-6</v>
      </c>
      <c r="AE788" s="70">
        <f>(($T$786*Y788)*SQRT($R$14*W788))*(1-G67)</f>
        <v>1.7486578719678414E-7</v>
      </c>
      <c r="AF788" s="70">
        <f>(($T$787*Z788)*SQRT($R$15*X788))*(1-H67)</f>
        <v>9.5834137645741725E-8</v>
      </c>
      <c r="AG788" s="70"/>
      <c r="AH788" s="70"/>
    </row>
    <row r="789" spans="19:34" x14ac:dyDescent="0.25">
      <c r="S789" s="116"/>
      <c r="T789" s="70">
        <f>L48</f>
        <v>1.2616666666666666E-3</v>
      </c>
      <c r="U789" s="69">
        <f t="shared" si="232"/>
        <v>3.3628036006573578E-8</v>
      </c>
      <c r="V789" s="69">
        <f t="shared" si="228"/>
        <v>1.1303970840277778E-3</v>
      </c>
      <c r="W789" s="69">
        <f t="shared" si="229"/>
        <v>8.5334097849090448E-2</v>
      </c>
      <c r="X789" s="69">
        <f t="shared" si="230"/>
        <v>0.29212000590355064</v>
      </c>
      <c r="Y789" s="70">
        <f t="shared" si="231"/>
        <v>2.9986515655675813E-4</v>
      </c>
      <c r="Z789" s="70">
        <f t="shared" si="233"/>
        <v>2.8977115997886264E-5</v>
      </c>
      <c r="AA789" s="70">
        <f t="shared" si="234"/>
        <v>5.9866470388152986E-13</v>
      </c>
      <c r="AB789" s="70">
        <f t="shared" si="235"/>
        <v>3.0053446385038534E-8</v>
      </c>
      <c r="AC789" s="70">
        <f>(($T$784*W789)*SQRT($R$12*U789))*(1-E68)</f>
        <v>6.8454163696515281E-9</v>
      </c>
      <c r="AD789" s="70">
        <f>(($T$785*X789)*SQRT($R$13*V789))*(1-F68)</f>
        <v>2.1234796107619875E-6</v>
      </c>
      <c r="AE789" s="70">
        <f>(($T$786*Y789)*SQRT($R$14*W789))*(1-G68)</f>
        <v>1.7072373916930601E-8</v>
      </c>
      <c r="AF789" s="70">
        <f>(($T$787*Z789)*SQRT($R$15*X789))*(1-H68)</f>
        <v>7.2526959853294187E-9</v>
      </c>
      <c r="AG789" s="70">
        <f>(($T$788*AA789)*SQRT($R$16*Y789))*(1-I68)</f>
        <v>1.320376285231508E-16</v>
      </c>
      <c r="AH789" s="70"/>
    </row>
    <row r="790" spans="19:34" x14ac:dyDescent="0.25">
      <c r="S790" s="116"/>
      <c r="T790" s="130" t="s">
        <v>77</v>
      </c>
      <c r="U790" s="133">
        <f>SUM(U780:U789)</f>
        <v>2.7549145590065648E-5</v>
      </c>
      <c r="V790" s="108"/>
      <c r="W790" s="108"/>
      <c r="X790" s="108"/>
      <c r="Y790" s="70">
        <f>SUM(Y781:Y789)</f>
        <v>2.4594213335706838E-2</v>
      </c>
      <c r="Z790" s="70">
        <f t="shared" ref="Z790:AG790" si="236">SUM(Z781:Z789)</f>
        <v>8.2099047505102961E-4</v>
      </c>
      <c r="AA790" s="70">
        <f t="shared" si="236"/>
        <v>2.6406289135562042E-11</v>
      </c>
      <c r="AB790" s="70">
        <f t="shared" si="236"/>
        <v>7.3324173733983915E-6</v>
      </c>
      <c r="AC790" s="70">
        <f t="shared" si="236"/>
        <v>1.4873050719101294E-7</v>
      </c>
      <c r="AD790" s="70">
        <f t="shared" si="236"/>
        <v>1.4245062933230677E-5</v>
      </c>
      <c r="AE790" s="70">
        <f t="shared" si="236"/>
        <v>2.3805718883603112E-7</v>
      </c>
      <c r="AF790" s="70">
        <f t="shared" si="236"/>
        <v>1.0308683363107114E-7</v>
      </c>
      <c r="AG790" s="70">
        <f t="shared" si="236"/>
        <v>1.320376285231508E-16</v>
      </c>
      <c r="AH790" s="130">
        <f>SUM(Y790:AG790)</f>
        <v>2.543727119200058E-2</v>
      </c>
    </row>
    <row r="791" spans="19:34" x14ac:dyDescent="0.25">
      <c r="S791" s="116"/>
    </row>
    <row r="792" spans="19:34" x14ac:dyDescent="0.25">
      <c r="S792" s="116"/>
      <c r="T792" s="112" t="s">
        <v>99</v>
      </c>
      <c r="U792" s="108"/>
      <c r="V792" s="108"/>
      <c r="W792" s="108"/>
      <c r="X792" s="108"/>
      <c r="Y792" s="108"/>
      <c r="Z792" s="108"/>
      <c r="AA792" s="108"/>
      <c r="AB792" s="108"/>
    </row>
    <row r="793" spans="19:34" x14ac:dyDescent="0.25">
      <c r="S793" s="116"/>
      <c r="T793" s="137" t="s">
        <v>100</v>
      </c>
      <c r="U793" s="138">
        <f>+AH790</f>
        <v>2.543727119200058E-2</v>
      </c>
      <c r="V793" s="138" t="s">
        <v>101</v>
      </c>
      <c r="W793" s="139"/>
      <c r="X793" s="108"/>
      <c r="Y793" s="108"/>
      <c r="Z793" s="108"/>
      <c r="AA793" s="108"/>
      <c r="AB793" s="108"/>
    </row>
    <row r="794" spans="19:34" x14ac:dyDescent="0.25">
      <c r="S794" s="116"/>
      <c r="T794" s="137" t="s">
        <v>103</v>
      </c>
      <c r="U794" s="138">
        <f>+U790</f>
        <v>2.7549145590065648E-5</v>
      </c>
      <c r="V794" s="138" t="s">
        <v>101</v>
      </c>
      <c r="W794" s="108"/>
      <c r="X794" s="108"/>
      <c r="Y794" s="108"/>
      <c r="Z794" s="140" t="e">
        <f>(U798*U798)+(2*U794*U798)-(U794*U794)</f>
        <v>#DIV/0!</v>
      </c>
      <c r="AA794" s="108"/>
      <c r="AB794" s="108"/>
    </row>
    <row r="795" spans="19:34" x14ac:dyDescent="0.25">
      <c r="S795" s="116"/>
      <c r="T795" s="137" t="s">
        <v>104</v>
      </c>
      <c r="U795" s="138">
        <v>8.3145100000000003</v>
      </c>
      <c r="V795" s="138" t="s">
        <v>105</v>
      </c>
      <c r="W795" s="108"/>
      <c r="X795" s="108"/>
      <c r="Y795" s="108"/>
      <c r="Z795" s="140"/>
      <c r="AA795" s="108"/>
      <c r="AB795" s="108"/>
    </row>
    <row r="796" spans="19:34" x14ac:dyDescent="0.25">
      <c r="S796" s="116"/>
      <c r="T796" s="137" t="s">
        <v>106</v>
      </c>
      <c r="U796" s="141">
        <f>B48*98066.5</f>
        <v>0</v>
      </c>
      <c r="V796" s="142" t="s">
        <v>107</v>
      </c>
      <c r="W796" s="108"/>
      <c r="X796" s="108"/>
      <c r="Y796" s="108"/>
      <c r="Z796" s="140" t="e">
        <f>U793/Z794</f>
        <v>#DIV/0!</v>
      </c>
      <c r="AA796" s="108"/>
      <c r="AB796" s="108"/>
    </row>
    <row r="797" spans="19:34" x14ac:dyDescent="0.25">
      <c r="S797" s="116"/>
      <c r="T797" s="137" t="s">
        <v>108</v>
      </c>
      <c r="U797" s="141" t="s">
        <v>109</v>
      </c>
      <c r="V797" s="138" t="s">
        <v>110</v>
      </c>
      <c r="W797" s="108"/>
      <c r="X797" s="108"/>
      <c r="Y797" s="108"/>
      <c r="Z797" s="140"/>
      <c r="AA797" s="108"/>
      <c r="AB797" s="108"/>
    </row>
    <row r="798" spans="19:34" x14ac:dyDescent="0.25">
      <c r="S798" s="116"/>
      <c r="T798" s="137" t="s">
        <v>112</v>
      </c>
      <c r="U798" s="138" t="e">
        <f>+U806</f>
        <v>#DIV/0!</v>
      </c>
      <c r="V798" s="138" t="s">
        <v>113</v>
      </c>
      <c r="W798" s="108"/>
      <c r="X798" s="108"/>
      <c r="Y798" s="108"/>
      <c r="Z798" s="140" t="e">
        <f>U798-U794</f>
        <v>#DIV/0!</v>
      </c>
      <c r="AA798" s="108"/>
      <c r="AB798" s="108"/>
    </row>
    <row r="799" spans="19:34" x14ac:dyDescent="0.25">
      <c r="S799" s="116"/>
      <c r="T799" s="108"/>
      <c r="U799" s="108"/>
      <c r="V799" s="108"/>
      <c r="W799" s="108"/>
      <c r="X799" s="108"/>
      <c r="Y799" s="108"/>
      <c r="Z799" s="108"/>
      <c r="AA799" s="108"/>
      <c r="AB799" s="108"/>
    </row>
    <row r="800" spans="19:34" x14ac:dyDescent="0.25">
      <c r="S800" s="116"/>
      <c r="T800" s="108"/>
      <c r="U800" s="108"/>
      <c r="V800" s="108"/>
      <c r="W800" s="108"/>
      <c r="X800" s="108"/>
      <c r="Y800" s="108"/>
      <c r="Z800" s="108"/>
      <c r="AA800" s="108"/>
      <c r="AB800" s="108"/>
    </row>
    <row r="801" spans="19:34" x14ac:dyDescent="0.25">
      <c r="S801" s="116"/>
      <c r="T801" s="108"/>
      <c r="U801" s="108"/>
      <c r="V801" s="108"/>
      <c r="W801" s="108"/>
      <c r="X801" s="108"/>
      <c r="Y801" s="108"/>
      <c r="Z801" s="108"/>
      <c r="AA801" s="108"/>
      <c r="AB801" s="108"/>
    </row>
    <row r="802" spans="19:34" x14ac:dyDescent="0.25">
      <c r="S802" s="116"/>
      <c r="T802" s="108" t="s">
        <v>116</v>
      </c>
      <c r="U802" s="108">
        <v>0.98</v>
      </c>
      <c r="V802" s="108"/>
      <c r="W802" s="108"/>
      <c r="X802" s="108"/>
      <c r="Y802" s="108"/>
      <c r="Z802" s="108"/>
      <c r="AA802" s="108"/>
      <c r="AB802" s="108"/>
    </row>
    <row r="803" spans="19:34" x14ac:dyDescent="0.25">
      <c r="S803" s="116"/>
      <c r="T803" s="108" t="s">
        <v>106</v>
      </c>
      <c r="U803" s="143">
        <f>U796</f>
        <v>0</v>
      </c>
      <c r="V803" s="108" t="s">
        <v>117</v>
      </c>
      <c r="W803" s="108"/>
      <c r="X803" s="108"/>
      <c r="Y803" s="108"/>
      <c r="Z803" s="108"/>
      <c r="AA803" s="108"/>
      <c r="AB803" s="108"/>
    </row>
    <row r="804" spans="19:34" x14ac:dyDescent="0.25">
      <c r="S804" s="116"/>
      <c r="T804" s="108" t="s">
        <v>118</v>
      </c>
      <c r="U804" s="143">
        <f>C48+273.15</f>
        <v>273.14999999999998</v>
      </c>
      <c r="V804" s="108" t="s">
        <v>49</v>
      </c>
      <c r="W804" s="108"/>
      <c r="X804" s="108"/>
      <c r="Y804" s="108"/>
      <c r="Z804" s="108"/>
      <c r="AA804" s="108"/>
      <c r="AB804" s="108"/>
    </row>
    <row r="805" spans="19:34" x14ac:dyDescent="0.25">
      <c r="S805" s="116"/>
      <c r="T805" s="108"/>
      <c r="U805" s="108"/>
      <c r="V805" s="108"/>
      <c r="W805" s="108"/>
      <c r="X805" s="108"/>
      <c r="Y805" s="108"/>
      <c r="Z805" s="108"/>
      <c r="AA805" s="108"/>
      <c r="AB805" s="108"/>
    </row>
    <row r="806" spans="19:34" x14ac:dyDescent="0.25">
      <c r="S806" s="116"/>
      <c r="T806" s="108" t="s">
        <v>121</v>
      </c>
      <c r="U806" s="108" t="e">
        <f>(0.98*U795*U804)/U803</f>
        <v>#DIV/0!</v>
      </c>
      <c r="V806" s="108" t="s">
        <v>113</v>
      </c>
      <c r="W806" s="108"/>
      <c r="X806" s="108"/>
      <c r="Y806" s="108"/>
      <c r="Z806" s="108"/>
      <c r="AA806" s="108"/>
      <c r="AB806" s="108"/>
    </row>
    <row r="807" spans="19:34" x14ac:dyDescent="0.25"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</row>
    <row r="808" spans="19:34" ht="15.75" thickBot="1" x14ac:dyDescent="0.3"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</row>
    <row r="809" spans="19:34" ht="15.75" thickBot="1" x14ac:dyDescent="0.3">
      <c r="S809" s="116"/>
      <c r="V809" s="162" t="s">
        <v>60</v>
      </c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4"/>
    </row>
    <row r="810" spans="19:34" x14ac:dyDescent="0.25">
      <c r="S810" s="116"/>
      <c r="Y810" s="175" t="s">
        <v>63</v>
      </c>
      <c r="Z810" s="175"/>
      <c r="AA810" s="175"/>
      <c r="AB810" s="175"/>
      <c r="AC810" s="175"/>
      <c r="AD810" s="175"/>
      <c r="AE810" s="175"/>
      <c r="AF810" s="175"/>
      <c r="AG810" s="175"/>
      <c r="AH810" s="175"/>
    </row>
    <row r="811" spans="19:34" ht="17.25" x14ac:dyDescent="0.25">
      <c r="S811" s="116">
        <v>26</v>
      </c>
      <c r="T811" s="70" t="s">
        <v>76</v>
      </c>
      <c r="U811" s="130" t="s">
        <v>77</v>
      </c>
      <c r="V811" s="70" t="s">
        <v>78</v>
      </c>
      <c r="W811" s="70" t="s">
        <v>79</v>
      </c>
      <c r="X811" s="70" t="s">
        <v>80</v>
      </c>
      <c r="Y811" s="131" t="s">
        <v>30</v>
      </c>
      <c r="Z811" s="131" t="s">
        <v>32</v>
      </c>
      <c r="AA811" s="131" t="s">
        <v>81</v>
      </c>
      <c r="AB811" s="131" t="s">
        <v>25</v>
      </c>
      <c r="AC811" s="131" t="s">
        <v>26</v>
      </c>
      <c r="AD811" s="131" t="s">
        <v>27</v>
      </c>
      <c r="AE811" s="131" t="s">
        <v>28</v>
      </c>
      <c r="AF811" s="131" t="s">
        <v>82</v>
      </c>
      <c r="AG811" s="131" t="s">
        <v>29</v>
      </c>
      <c r="AH811" s="132" t="s">
        <v>31</v>
      </c>
    </row>
    <row r="812" spans="19:34" x14ac:dyDescent="0.25">
      <c r="S812" s="116"/>
      <c r="T812" s="70">
        <f>K49</f>
        <v>0.89643719999999982</v>
      </c>
      <c r="U812" s="69">
        <f>+S8*T812</f>
        <v>2.4027271841075036E-5</v>
      </c>
      <c r="V812" s="69">
        <f>$T$812*T812</f>
        <v>0.80359965354383966</v>
      </c>
      <c r="W812" s="69">
        <f>$R$8*R8</f>
        <v>4.2845172623208805E-2</v>
      </c>
      <c r="X812" s="69">
        <f>SQRT(W812)</f>
        <v>0.20699075492207086</v>
      </c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</row>
    <row r="813" spans="19:34" x14ac:dyDescent="0.25">
      <c r="S813" s="116"/>
      <c r="T813" s="70">
        <f>M49</f>
        <v>5.2713199999999995E-2</v>
      </c>
      <c r="U813" s="69">
        <f t="shared" ref="U813:U821" si="237">+S9*T813</f>
        <v>2.1368971128424792E-6</v>
      </c>
      <c r="V813" s="69">
        <f t="shared" ref="V813:V821" si="238">$T$812*T813</f>
        <v>4.7254073411039987E-2</v>
      </c>
      <c r="W813" s="69">
        <f t="shared" ref="W813:W821" si="239">$R$8*R9</f>
        <v>0.12918986849197683</v>
      </c>
      <c r="X813" s="69">
        <f t="shared" ref="X813:X821" si="240">SQRT(W813)</f>
        <v>0.35942992153127268</v>
      </c>
      <c r="Y813" s="70">
        <f t="shared" ref="Y813:Y821" si="241">(($T$812*T813)*SQRT($R$8*R9))*(1-B60)</f>
        <v>1.7028687670698324E-2</v>
      </c>
      <c r="Z813" s="70"/>
      <c r="AA813" s="70"/>
      <c r="AB813" s="70"/>
      <c r="AC813" s="70"/>
      <c r="AD813" s="70"/>
      <c r="AE813" s="70"/>
      <c r="AF813" s="70"/>
      <c r="AG813" s="70"/>
      <c r="AH813" s="70"/>
    </row>
    <row r="814" spans="19:34" x14ac:dyDescent="0.25">
      <c r="S814" s="116"/>
      <c r="T814" s="70">
        <f>+E49</f>
        <v>3.3208000000000001E-3</v>
      </c>
      <c r="U814" s="69">
        <f t="shared" si="237"/>
        <v>1.870150711285728E-7</v>
      </c>
      <c r="V814" s="69">
        <f t="shared" si="238"/>
        <v>2.9768886537599993E-3</v>
      </c>
      <c r="W814" s="69">
        <f t="shared" si="239"/>
        <v>0.24193902239770376</v>
      </c>
      <c r="X814" s="69">
        <f t="shared" si="240"/>
        <v>0.49187297384355622</v>
      </c>
      <c r="Y814" s="70">
        <f t="shared" si="241"/>
        <v>1.4437515598771063E-3</v>
      </c>
      <c r="Z814" s="70">
        <f t="shared" ref="Z814:Z821" si="242">(($T$813*T814)*SQRT($R$9*R10))*(1-B61)</f>
        <v>1.4741960964168951E-4</v>
      </c>
      <c r="AA814" s="70"/>
      <c r="AB814" s="70"/>
      <c r="AC814" s="70"/>
      <c r="AD814" s="70"/>
      <c r="AE814" s="70"/>
      <c r="AF814" s="70"/>
      <c r="AG814" s="70"/>
      <c r="AH814" s="70"/>
    </row>
    <row r="815" spans="19:34" x14ac:dyDescent="0.25">
      <c r="S815" s="116"/>
      <c r="T815" s="70">
        <f>+G49</f>
        <v>4.8000000000000007E-4</v>
      </c>
      <c r="U815" s="69">
        <f t="shared" si="237"/>
        <v>3.4773053413954904E-8</v>
      </c>
      <c r="V815" s="69">
        <f t="shared" si="238"/>
        <v>4.3028985599999998E-4</v>
      </c>
      <c r="W815" s="69">
        <f t="shared" si="239"/>
        <v>0.39059496580954223</v>
      </c>
      <c r="X815" s="69">
        <f t="shared" si="240"/>
        <v>0.62497597218576506</v>
      </c>
      <c r="Y815" s="70">
        <f t="shared" si="241"/>
        <v>2.6203644805574588E-4</v>
      </c>
      <c r="Z815" s="70">
        <f t="shared" si="242"/>
        <v>2.6756203738793586E-5</v>
      </c>
      <c r="AA815" s="70">
        <f t="shared" ref="AA815:AA821" si="243">(($T$814*U815)*SQRT($R$10*S11))*(1-C62)</f>
        <v>1.0697046859435305E-12</v>
      </c>
      <c r="AB815" s="70"/>
      <c r="AC815" s="70"/>
      <c r="AD815" s="70"/>
      <c r="AE815" s="70"/>
      <c r="AF815" s="70"/>
      <c r="AG815" s="70"/>
      <c r="AH815" s="70"/>
    </row>
    <row r="816" spans="19:34" x14ac:dyDescent="0.25">
      <c r="S816" s="116"/>
      <c r="T816" s="70">
        <f>+F49</f>
        <v>3.0480000000000014E-4</v>
      </c>
      <c r="U816" s="69">
        <f t="shared" si="237"/>
        <v>2.2089050975569323E-8</v>
      </c>
      <c r="V816" s="69">
        <f t="shared" si="238"/>
        <v>2.7323405856000008E-4</v>
      </c>
      <c r="W816" s="69">
        <f t="shared" si="239"/>
        <v>0.36453710099529019</v>
      </c>
      <c r="X816" s="69">
        <f t="shared" si="240"/>
        <v>0.60376907919774281</v>
      </c>
      <c r="Y816" s="70">
        <f t="shared" si="241"/>
        <v>1.6277617127220169E-4</v>
      </c>
      <c r="Z816" s="70">
        <f t="shared" si="242"/>
        <v>1.6620864901409603E-5</v>
      </c>
      <c r="AA816" s="70">
        <f t="shared" si="243"/>
        <v>6.6863474930095914E-13</v>
      </c>
      <c r="AB816" s="70">
        <f t="shared" ref="AB816:AB821" si="244">(($T$815*V816)*SQRT($R$11*T816))*(1-D63)</f>
        <v>3.134987810995325E-9</v>
      </c>
      <c r="AC816" s="70"/>
      <c r="AD816" s="70"/>
      <c r="AE816" s="70"/>
      <c r="AF816" s="70"/>
      <c r="AG816" s="70"/>
      <c r="AH816" s="70"/>
    </row>
    <row r="817" spans="19:34" x14ac:dyDescent="0.25">
      <c r="S817" s="116"/>
      <c r="T817" s="70">
        <f>+I49</f>
        <v>1.1360000000000005E-4</v>
      </c>
      <c r="U817" s="69">
        <f t="shared" si="237"/>
        <v>1.0242011229321594E-8</v>
      </c>
      <c r="V817" s="69">
        <f t="shared" si="238"/>
        <v>1.0183526592000003E-4</v>
      </c>
      <c r="W817" s="69">
        <f t="shared" si="239"/>
        <v>0.57891172563229198</v>
      </c>
      <c r="X817" s="69">
        <f t="shared" si="240"/>
        <v>0.76086248799128742</v>
      </c>
      <c r="Y817" s="70">
        <f t="shared" si="241"/>
        <v>7.7916536542387197E-5</v>
      </c>
      <c r="Z817" s="70">
        <f t="shared" si="242"/>
        <v>7.9559570503175031E-6</v>
      </c>
      <c r="AA817" s="70">
        <f t="shared" si="243"/>
        <v>3.4914748066988203E-13</v>
      </c>
      <c r="AB817" s="70">
        <f t="shared" si="244"/>
        <v>7.0773199297559435E-10</v>
      </c>
      <c r="AC817" s="70">
        <f>(($T$816*W817)*SQRT($R$12*U817))*(1-E64)</f>
        <v>2.3698198131995343E-8</v>
      </c>
      <c r="AD817" s="70"/>
      <c r="AE817" s="70"/>
      <c r="AF817" s="70"/>
      <c r="AG817" s="70"/>
      <c r="AH817" s="70"/>
    </row>
    <row r="818" spans="19:34" x14ac:dyDescent="0.25">
      <c r="S818" s="116"/>
      <c r="T818" s="70">
        <f>+H49</f>
        <v>1.1680000000000006E-4</v>
      </c>
      <c r="U818" s="69">
        <f t="shared" si="237"/>
        <v>1.0291477157149162E-8</v>
      </c>
      <c r="V818" s="69">
        <f t="shared" si="238"/>
        <v>1.0470386496000003E-4</v>
      </c>
      <c r="W818" s="69">
        <f t="shared" si="239"/>
        <v>0.54235185847350886</v>
      </c>
      <c r="X818" s="69">
        <f t="shared" si="240"/>
        <v>0.73644542124553181</v>
      </c>
      <c r="Y818" s="70">
        <f t="shared" si="241"/>
        <v>7.5335182251962948E-5</v>
      </c>
      <c r="Z818" s="70">
        <f t="shared" si="242"/>
        <v>7.6923782931290863E-6</v>
      </c>
      <c r="AA818" s="70">
        <f t="shared" si="243"/>
        <v>3.441236968739209E-13</v>
      </c>
      <c r="AB818" s="70">
        <f t="shared" si="244"/>
        <v>7.2620618243629988E-10</v>
      </c>
      <c r="AC818" s="70">
        <f>(($T$816*W818)*SQRT($R$12*U818))*(1-E65)</f>
        <v>2.2255140791723342E-8</v>
      </c>
      <c r="AD818" s="70">
        <f>(($T$817*X818)*SQRT($R$13*V818))*(1-F65)</f>
        <v>1.4316305361018318E-6</v>
      </c>
      <c r="AE818" s="70"/>
      <c r="AF818" s="70"/>
      <c r="AG818" s="70"/>
      <c r="AH818" s="70"/>
    </row>
    <row r="819" spans="19:34" x14ac:dyDescent="0.25">
      <c r="S819" s="116"/>
      <c r="T819" s="70">
        <f>+D49</f>
        <v>1.936000000000001E-4</v>
      </c>
      <c r="U819" s="69">
        <f t="shared" si="237"/>
        <v>2.101444111825921E-8</v>
      </c>
      <c r="V819" s="69">
        <f t="shared" si="238"/>
        <v>1.7355024192000005E-4</v>
      </c>
      <c r="W819" s="69">
        <f t="shared" si="239"/>
        <v>0.8050809492880614</v>
      </c>
      <c r="X819" s="69">
        <f t="shared" si="240"/>
        <v>0.89726303238685889</v>
      </c>
      <c r="Y819" s="70">
        <f t="shared" si="241"/>
        <v>1.4914882320720717E-4</v>
      </c>
      <c r="Z819" s="70">
        <f t="shared" si="242"/>
        <v>1.5229393966920071E-5</v>
      </c>
      <c r="AA819" s="70">
        <f t="shared" si="243"/>
        <v>7.9389976013663649E-13</v>
      </c>
      <c r="AB819" s="70">
        <f t="shared" si="244"/>
        <v>1.5911197672255479E-9</v>
      </c>
      <c r="AC819" s="70">
        <f>(($T$816*W819)*SQRT($R$12*U819))*(1-E66)</f>
        <v>4.7207263750480914E-8</v>
      </c>
      <c r="AD819" s="70">
        <f>(($T$817*X819)*SQRT($R$13*V819))*(1-F66)</f>
        <v>2.2582222470768553E-6</v>
      </c>
      <c r="AE819" s="70">
        <f>(($T$818*Y819)*SQRT($R$14*W819))*(1-G66)</f>
        <v>2.5301574099320788E-8</v>
      </c>
      <c r="AF819" s="70"/>
      <c r="AG819" s="70"/>
      <c r="AH819" s="70"/>
    </row>
    <row r="820" spans="19:34" x14ac:dyDescent="0.25">
      <c r="S820" s="116"/>
      <c r="T820" s="70">
        <f>+J49</f>
        <v>4.4539600000000006E-2</v>
      </c>
      <c r="U820" s="69">
        <f t="shared" si="237"/>
        <v>1.0694069623868774E-6</v>
      </c>
      <c r="V820" s="69">
        <f t="shared" si="238"/>
        <v>3.9926954313119996E-2</v>
      </c>
      <c r="W820" s="69">
        <f t="shared" si="239"/>
        <v>1.8651528335962096E-2</v>
      </c>
      <c r="X820" s="69">
        <f t="shared" si="240"/>
        <v>0.13657059835836591</v>
      </c>
      <c r="Y820" s="70">
        <f t="shared" si="241"/>
        <v>5.2832644670895513E-3</v>
      </c>
      <c r="Z820" s="70">
        <f t="shared" si="242"/>
        <v>5.3946732042904069E-4</v>
      </c>
      <c r="AA820" s="70">
        <f t="shared" si="243"/>
        <v>1.7844274555571618E-11</v>
      </c>
      <c r="AB820" s="70">
        <f t="shared" si="244"/>
        <v>5.0827011953078421E-6</v>
      </c>
      <c r="AC820" s="70">
        <f>(($T$816*W820)*SQRT($R$12*U820))*(1-E67)</f>
        <v>6.9958977600006557E-9</v>
      </c>
      <c r="AD820" s="70">
        <f>(($T$817*X820)*SQRT($R$13*V820))*(1-F67)</f>
        <v>4.7696571359705027E-6</v>
      </c>
      <c r="AE820" s="70">
        <f>(($T$818*Y820)*SQRT($R$14*W820))*(1-G67)</f>
        <v>1.2383906843410331E-7</v>
      </c>
      <c r="AF820" s="70">
        <f>(($T$819*Z820)*SQRT($R$15*X820))*(1-H67)</f>
        <v>6.8507151582609641E-8</v>
      </c>
      <c r="AG820" s="70"/>
      <c r="AH820" s="70"/>
    </row>
    <row r="821" spans="19:34" x14ac:dyDescent="0.25">
      <c r="S821" s="116"/>
      <c r="T821" s="70">
        <f>L49</f>
        <v>1.7807999999999999E-3</v>
      </c>
      <c r="U821" s="69">
        <f t="shared" si="237"/>
        <v>4.7464840042673358E-8</v>
      </c>
      <c r="V821" s="69">
        <f t="shared" si="238"/>
        <v>1.5963753657599997E-3</v>
      </c>
      <c r="W821" s="69">
        <f t="shared" si="239"/>
        <v>8.5334097849090448E-2</v>
      </c>
      <c r="X821" s="69">
        <f t="shared" si="240"/>
        <v>0.29212000590355064</v>
      </c>
      <c r="Y821" s="70">
        <f t="shared" si="241"/>
        <v>4.2347716191137229E-4</v>
      </c>
      <c r="Z821" s="70">
        <f t="shared" si="242"/>
        <v>4.3240706805857263E-5</v>
      </c>
      <c r="AA821" s="70">
        <f t="shared" si="243"/>
        <v>7.634670733122864E-13</v>
      </c>
      <c r="AB821" s="70">
        <f t="shared" si="244"/>
        <v>3.8906861696546947E-8</v>
      </c>
      <c r="AC821" s="70">
        <f>(($T$816*W821)*SQRT($R$12*U821))*(1-E68)</f>
        <v>6.6176171864802396E-9</v>
      </c>
      <c r="AD821" s="70">
        <f>(($T$817*X821)*SQRT($R$13*V821))*(1-F68)</f>
        <v>1.9217931285625383E-6</v>
      </c>
      <c r="AE821" s="70">
        <f>(($T$818*Y821)*SQRT($R$14*W821))*(1-G68)</f>
        <v>1.8266286425404981E-8</v>
      </c>
      <c r="AF821" s="70">
        <f>(($T$819*Z821)*SQRT($R$15*X821))*(1-H68)</f>
        <v>7.8328293497718031E-9</v>
      </c>
      <c r="AG821" s="70">
        <f>(($T$820*AA821)*SQRT($R$16*Y821))*(1-I68)</f>
        <v>1.8694909432089075E-16</v>
      </c>
      <c r="AH821" s="70"/>
    </row>
    <row r="822" spans="19:34" x14ac:dyDescent="0.25">
      <c r="S822" s="116"/>
      <c r="T822" s="130" t="s">
        <v>77</v>
      </c>
      <c r="U822" s="133">
        <f>SUM(U812:U821)</f>
        <v>2.7566465861369897E-5</v>
      </c>
      <c r="V822" s="108"/>
      <c r="W822" s="108"/>
      <c r="X822" s="108"/>
      <c r="Y822" s="70">
        <f>SUM(Y813:Y821)</f>
        <v>2.4906394020905855E-2</v>
      </c>
      <c r="Z822" s="70">
        <f t="shared" ref="Z822:AG822" si="245">SUM(Z813:Z821)</f>
        <v>8.0438243482715732E-4</v>
      </c>
      <c r="AA822" s="70">
        <f t="shared" si="245"/>
        <v>2.1833252001808834E-11</v>
      </c>
      <c r="AB822" s="70">
        <f t="shared" si="245"/>
        <v>5.1277681027580225E-6</v>
      </c>
      <c r="AC822" s="70">
        <f t="shared" si="245"/>
        <v>1.0677411762068049E-7</v>
      </c>
      <c r="AD822" s="70">
        <f t="shared" si="245"/>
        <v>1.0381303047711729E-5</v>
      </c>
      <c r="AE822" s="70">
        <f t="shared" si="245"/>
        <v>1.6740692895882908E-7</v>
      </c>
      <c r="AF822" s="70">
        <f t="shared" si="245"/>
        <v>7.6339980932381444E-8</v>
      </c>
      <c r="AG822" s="70">
        <f t="shared" si="245"/>
        <v>1.8694909432089075E-16</v>
      </c>
      <c r="AH822" s="130">
        <f>SUM(Y822:AG822)</f>
        <v>2.5726636069744433E-2</v>
      </c>
    </row>
    <row r="823" spans="19:34" x14ac:dyDescent="0.25">
      <c r="S823" s="116"/>
    </row>
    <row r="824" spans="19:34" x14ac:dyDescent="0.25">
      <c r="S824" s="116"/>
      <c r="T824" s="112" t="s">
        <v>99</v>
      </c>
      <c r="U824" s="108"/>
      <c r="V824" s="108"/>
      <c r="W824" s="108"/>
      <c r="X824" s="108"/>
      <c r="Y824" s="108"/>
      <c r="Z824" s="108"/>
      <c r="AA824" s="108"/>
      <c r="AB824" s="108"/>
    </row>
    <row r="825" spans="19:34" x14ac:dyDescent="0.25">
      <c r="S825" s="116"/>
      <c r="T825" s="137" t="s">
        <v>100</v>
      </c>
      <c r="U825" s="138">
        <f>+AH822</f>
        <v>2.5726636069744433E-2</v>
      </c>
      <c r="V825" s="138" t="s">
        <v>101</v>
      </c>
      <c r="W825" s="139"/>
      <c r="X825" s="108"/>
      <c r="Y825" s="108"/>
      <c r="Z825" s="108"/>
      <c r="AA825" s="108"/>
      <c r="AB825" s="108"/>
    </row>
    <row r="826" spans="19:34" x14ac:dyDescent="0.25">
      <c r="S826" s="116"/>
      <c r="T826" s="137" t="s">
        <v>103</v>
      </c>
      <c r="U826" s="138">
        <f>+U822</f>
        <v>2.7566465861369897E-5</v>
      </c>
      <c r="V826" s="138" t="s">
        <v>101</v>
      </c>
      <c r="W826" s="108"/>
      <c r="X826" s="108"/>
      <c r="Y826" s="108"/>
      <c r="Z826" s="140" t="e">
        <f>(U830*U830)+(2*U826*U830)-(U826*U826)</f>
        <v>#DIV/0!</v>
      </c>
      <c r="AA826" s="108"/>
      <c r="AB826" s="108"/>
    </row>
    <row r="827" spans="19:34" x14ac:dyDescent="0.25">
      <c r="S827" s="116"/>
      <c r="T827" s="137" t="s">
        <v>104</v>
      </c>
      <c r="U827" s="138">
        <v>8.3145100000000003</v>
      </c>
      <c r="V827" s="138" t="s">
        <v>105</v>
      </c>
      <c r="W827" s="108"/>
      <c r="X827" s="108"/>
      <c r="Y827" s="108"/>
      <c r="Z827" s="140"/>
      <c r="AA827" s="108"/>
      <c r="AB827" s="108"/>
    </row>
    <row r="828" spans="19:34" x14ac:dyDescent="0.25">
      <c r="S828" s="116"/>
      <c r="T828" s="137" t="s">
        <v>106</v>
      </c>
      <c r="U828" s="141">
        <f>B49*98066.5</f>
        <v>0</v>
      </c>
      <c r="V828" s="142" t="s">
        <v>107</v>
      </c>
      <c r="W828" s="108"/>
      <c r="X828" s="108"/>
      <c r="Y828" s="108"/>
      <c r="Z828" s="140" t="e">
        <f>U825/Z826</f>
        <v>#DIV/0!</v>
      </c>
      <c r="AA828" s="108"/>
      <c r="AB828" s="108"/>
    </row>
    <row r="829" spans="19:34" x14ac:dyDescent="0.25">
      <c r="S829" s="116"/>
      <c r="T829" s="137" t="s">
        <v>108</v>
      </c>
      <c r="U829" s="141" t="s">
        <v>109</v>
      </c>
      <c r="V829" s="138" t="s">
        <v>110</v>
      </c>
      <c r="W829" s="108"/>
      <c r="X829" s="108"/>
      <c r="Y829" s="108"/>
      <c r="Z829" s="140"/>
      <c r="AA829" s="108"/>
      <c r="AB829" s="108"/>
    </row>
    <row r="830" spans="19:34" x14ac:dyDescent="0.25">
      <c r="S830" s="116"/>
      <c r="T830" s="137" t="s">
        <v>112</v>
      </c>
      <c r="U830" s="138" t="e">
        <f>+U838</f>
        <v>#DIV/0!</v>
      </c>
      <c r="V830" s="138" t="s">
        <v>113</v>
      </c>
      <c r="W830" s="108"/>
      <c r="X830" s="108"/>
      <c r="Y830" s="108"/>
      <c r="Z830" s="140" t="e">
        <f>U830-U826</f>
        <v>#DIV/0!</v>
      </c>
      <c r="AA830" s="108"/>
      <c r="AB830" s="108"/>
    </row>
    <row r="831" spans="19:34" x14ac:dyDescent="0.25">
      <c r="S831" s="116"/>
      <c r="T831" s="108"/>
      <c r="U831" s="108"/>
      <c r="V831" s="108"/>
      <c r="W831" s="108"/>
      <c r="X831" s="108"/>
      <c r="Y831" s="108"/>
      <c r="Z831" s="108"/>
      <c r="AA831" s="108"/>
      <c r="AB831" s="108"/>
    </row>
    <row r="832" spans="19:34" x14ac:dyDescent="0.25">
      <c r="S832" s="116"/>
      <c r="T832" s="108"/>
      <c r="U832" s="108"/>
      <c r="V832" s="108"/>
      <c r="W832" s="108"/>
      <c r="X832" s="108"/>
      <c r="Y832" s="108"/>
      <c r="Z832" s="108"/>
      <c r="AA832" s="108"/>
      <c r="AB832" s="108"/>
    </row>
    <row r="833" spans="19:34" x14ac:dyDescent="0.25">
      <c r="S833" s="116"/>
      <c r="T833" s="108"/>
      <c r="U833" s="108"/>
      <c r="V833" s="108"/>
      <c r="W833" s="108"/>
      <c r="X833" s="108"/>
      <c r="Y833" s="108"/>
      <c r="Z833" s="108"/>
      <c r="AA833" s="108"/>
      <c r="AB833" s="108"/>
    </row>
    <row r="834" spans="19:34" x14ac:dyDescent="0.25">
      <c r="S834" s="116"/>
      <c r="T834" s="108" t="s">
        <v>116</v>
      </c>
      <c r="U834" s="108">
        <v>0.98</v>
      </c>
      <c r="V834" s="108"/>
      <c r="W834" s="108"/>
      <c r="X834" s="108"/>
      <c r="Y834" s="108"/>
      <c r="Z834" s="108"/>
      <c r="AA834" s="108"/>
      <c r="AB834" s="108"/>
    </row>
    <row r="835" spans="19:34" x14ac:dyDescent="0.25">
      <c r="S835" s="116"/>
      <c r="T835" s="108" t="s">
        <v>106</v>
      </c>
      <c r="U835" s="143">
        <f>U828</f>
        <v>0</v>
      </c>
      <c r="V835" s="108" t="s">
        <v>117</v>
      </c>
      <c r="W835" s="108"/>
      <c r="X835" s="108"/>
      <c r="Y835" s="108"/>
      <c r="Z835" s="108"/>
      <c r="AA835" s="108"/>
      <c r="AB835" s="108"/>
    </row>
    <row r="836" spans="19:34" x14ac:dyDescent="0.25">
      <c r="S836" s="116"/>
      <c r="T836" s="108" t="s">
        <v>118</v>
      </c>
      <c r="U836" s="143">
        <f>C49+273.15</f>
        <v>273.14999999999998</v>
      </c>
      <c r="V836" s="108" t="s">
        <v>49</v>
      </c>
      <c r="W836" s="108"/>
      <c r="X836" s="108"/>
      <c r="Y836" s="108"/>
      <c r="Z836" s="108"/>
      <c r="AA836" s="108"/>
      <c r="AB836" s="108"/>
    </row>
    <row r="837" spans="19:34" x14ac:dyDescent="0.25">
      <c r="S837" s="116"/>
      <c r="T837" s="108"/>
      <c r="U837" s="108"/>
      <c r="V837" s="108"/>
      <c r="W837" s="108"/>
      <c r="X837" s="108"/>
      <c r="Y837" s="108"/>
      <c r="Z837" s="108"/>
      <c r="AA837" s="108"/>
      <c r="AB837" s="108"/>
    </row>
    <row r="838" spans="19:34" x14ac:dyDescent="0.25">
      <c r="S838" s="116"/>
      <c r="T838" s="108" t="s">
        <v>121</v>
      </c>
      <c r="U838" s="108" t="e">
        <f>(0.98*U827*U836)/U835</f>
        <v>#DIV/0!</v>
      </c>
      <c r="V838" s="108" t="s">
        <v>113</v>
      </c>
      <c r="W838" s="108"/>
      <c r="X838" s="108"/>
      <c r="Y838" s="108"/>
      <c r="Z838" s="108"/>
      <c r="AA838" s="108"/>
      <c r="AB838" s="108"/>
    </row>
    <row r="839" spans="19:34" x14ac:dyDescent="0.25">
      <c r="S839" s="116"/>
      <c r="T839" s="147"/>
      <c r="U839" s="116"/>
      <c r="V839" s="116"/>
      <c r="W839" s="116"/>
      <c r="X839" s="116"/>
      <c r="Y839" s="147"/>
      <c r="Z839" s="147"/>
      <c r="AA839" s="147"/>
      <c r="AB839" s="147"/>
      <c r="AC839" s="147"/>
      <c r="AD839" s="147"/>
      <c r="AE839" s="147"/>
      <c r="AF839" s="147"/>
      <c r="AG839" s="147"/>
      <c r="AH839" s="147"/>
    </row>
    <row r="840" spans="19:34" ht="15.75" thickBot="1" x14ac:dyDescent="0.3">
      <c r="S840" s="116"/>
      <c r="T840" s="147"/>
      <c r="U840" s="116"/>
      <c r="V840" s="116"/>
      <c r="W840" s="116"/>
      <c r="X840" s="116"/>
      <c r="Y840" s="147"/>
      <c r="Z840" s="147"/>
      <c r="AA840" s="147"/>
      <c r="AB840" s="147"/>
      <c r="AC840" s="147"/>
      <c r="AD840" s="147"/>
      <c r="AE840" s="147"/>
      <c r="AF840" s="147"/>
      <c r="AG840" s="147"/>
      <c r="AH840" s="147"/>
    </row>
    <row r="841" spans="19:34" ht="15.75" thickBot="1" x14ac:dyDescent="0.3">
      <c r="S841" s="116"/>
      <c r="V841" s="162" t="s">
        <v>60</v>
      </c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4"/>
    </row>
    <row r="842" spans="19:34" x14ac:dyDescent="0.25">
      <c r="S842" s="116"/>
      <c r="Y842" s="175" t="s">
        <v>63</v>
      </c>
      <c r="Z842" s="175"/>
      <c r="AA842" s="175"/>
      <c r="AB842" s="175"/>
      <c r="AC842" s="175"/>
      <c r="AD842" s="175"/>
      <c r="AE842" s="175"/>
      <c r="AF842" s="175"/>
      <c r="AG842" s="175"/>
      <c r="AH842" s="175"/>
    </row>
    <row r="843" spans="19:34" ht="17.25" x14ac:dyDescent="0.25">
      <c r="S843" s="116">
        <v>27</v>
      </c>
      <c r="T843" s="70" t="s">
        <v>76</v>
      </c>
      <c r="U843" s="130" t="s">
        <v>77</v>
      </c>
      <c r="V843" s="70" t="s">
        <v>78</v>
      </c>
      <c r="W843" s="70" t="s">
        <v>79</v>
      </c>
      <c r="X843" s="70" t="s">
        <v>80</v>
      </c>
      <c r="Y843" s="131" t="s">
        <v>30</v>
      </c>
      <c r="Z843" s="131" t="s">
        <v>32</v>
      </c>
      <c r="AA843" s="131" t="s">
        <v>81</v>
      </c>
      <c r="AB843" s="131" t="s">
        <v>25</v>
      </c>
      <c r="AC843" s="131" t="s">
        <v>26</v>
      </c>
      <c r="AD843" s="131" t="s">
        <v>27</v>
      </c>
      <c r="AE843" s="131" t="s">
        <v>28</v>
      </c>
      <c r="AF843" s="131" t="s">
        <v>82</v>
      </c>
      <c r="AG843" s="131" t="s">
        <v>29</v>
      </c>
      <c r="AH843" s="132" t="s">
        <v>31</v>
      </c>
    </row>
    <row r="844" spans="19:34" x14ac:dyDescent="0.25">
      <c r="S844" s="116"/>
      <c r="T844" s="70">
        <f>K50</f>
        <v>0.90453791666666672</v>
      </c>
      <c r="U844" s="69">
        <f>+S8*T844</f>
        <v>2.4244395942414797E-5</v>
      </c>
      <c r="V844" s="69">
        <f>$T$844*T844</f>
        <v>0.81818884268767367</v>
      </c>
      <c r="W844" s="69">
        <f>$R$8*R8</f>
        <v>4.2845172623208805E-2</v>
      </c>
      <c r="X844" s="69">
        <f>SQRT(W844)</f>
        <v>0.20699075492207086</v>
      </c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</row>
    <row r="845" spans="19:34" x14ac:dyDescent="0.25">
      <c r="S845" s="116"/>
      <c r="T845" s="70">
        <f>M50</f>
        <v>5.2347083333333336E-2</v>
      </c>
      <c r="U845" s="69">
        <f t="shared" ref="U845:U853" si="246">+S9*T845</f>
        <v>2.1220554100438727E-6</v>
      </c>
      <c r="V845" s="69">
        <f t="shared" ref="V845:V853" si="247">$T$844*T845</f>
        <v>4.7349921701909728E-2</v>
      </c>
      <c r="W845" s="69">
        <f t="shared" ref="W845:W853" si="248">$R$8*R9</f>
        <v>0.12918986849197683</v>
      </c>
      <c r="X845" s="69">
        <f t="shared" ref="X845:X853" si="249">SQRT(W845)</f>
        <v>0.35942992153127268</v>
      </c>
      <c r="Y845" s="70">
        <f t="shared" ref="Y845:Y853" si="250">(($T$844*T845)*SQRT($R$8*R9))*(1-B60)</f>
        <v>1.7063227986298075E-2</v>
      </c>
      <c r="Z845" s="70"/>
      <c r="AA845" s="70"/>
      <c r="AB845" s="70"/>
      <c r="AC845" s="70"/>
      <c r="AD845" s="70"/>
      <c r="AE845" s="70"/>
      <c r="AF845" s="70"/>
      <c r="AG845" s="70"/>
      <c r="AH845" s="70"/>
    </row>
    <row r="846" spans="19:34" x14ac:dyDescent="0.25">
      <c r="S846" s="116"/>
      <c r="T846" s="70">
        <f>+E50</f>
        <v>3.0695833333333322E-3</v>
      </c>
      <c r="U846" s="69">
        <f t="shared" si="246"/>
        <v>1.7286748537051756E-7</v>
      </c>
      <c r="V846" s="69">
        <f t="shared" si="247"/>
        <v>2.7765545133680548E-3</v>
      </c>
      <c r="W846" s="69">
        <f t="shared" si="248"/>
        <v>0.24193902239770376</v>
      </c>
      <c r="X846" s="69">
        <f t="shared" si="249"/>
        <v>0.49187297384355622</v>
      </c>
      <c r="Y846" s="70">
        <f t="shared" si="250"/>
        <v>1.3465921557716859E-3</v>
      </c>
      <c r="Z846" s="70">
        <f t="shared" ref="Z846:Z853" si="251">(($T$845*T846)*SQRT($R$9*R10))*(1-B61)</f>
        <v>1.3532096063451087E-4</v>
      </c>
      <c r="AA846" s="70"/>
      <c r="AB846" s="70"/>
      <c r="AC846" s="70"/>
      <c r="AD846" s="70"/>
      <c r="AE846" s="70"/>
      <c r="AF846" s="70"/>
      <c r="AG846" s="70"/>
      <c r="AH846" s="70"/>
    </row>
    <row r="847" spans="19:34" x14ac:dyDescent="0.25">
      <c r="S847" s="116"/>
      <c r="T847" s="70">
        <f>+G50</f>
        <v>4.6125000000000007E-4</v>
      </c>
      <c r="U847" s="69">
        <f t="shared" si="246"/>
        <v>3.3414731014972289E-8</v>
      </c>
      <c r="V847" s="69">
        <f t="shared" si="247"/>
        <v>4.1721811406250008E-4</v>
      </c>
      <c r="W847" s="69">
        <f t="shared" si="248"/>
        <v>0.39059496580954223</v>
      </c>
      <c r="X847" s="69">
        <f t="shared" si="249"/>
        <v>0.62497597218576506</v>
      </c>
      <c r="Y847" s="70">
        <f t="shared" si="250"/>
        <v>2.5407606326060953E-4</v>
      </c>
      <c r="Z847" s="70">
        <f t="shared" si="251"/>
        <v>2.5532464902082694E-5</v>
      </c>
      <c r="AA847" s="70">
        <f t="shared" ref="AA847:AA853" si="252">(($T$846*U847)*SQRT($R$10*S11))*(1-C62)</f>
        <v>9.5015782175506862E-13</v>
      </c>
      <c r="AB847" s="70"/>
      <c r="AC847" s="70"/>
      <c r="AD847" s="70"/>
      <c r="AE847" s="70"/>
      <c r="AF847" s="70"/>
      <c r="AG847" s="70"/>
      <c r="AH847" s="70"/>
    </row>
    <row r="848" spans="19:34" x14ac:dyDescent="0.25">
      <c r="S848" s="116"/>
      <c r="T848" s="70">
        <f>+F50</f>
        <v>2.9208333333333349E-4</v>
      </c>
      <c r="U848" s="69">
        <f t="shared" si="246"/>
        <v>2.1167466007592542E-8</v>
      </c>
      <c r="V848" s="69">
        <f t="shared" si="247"/>
        <v>2.6420044982638905E-4</v>
      </c>
      <c r="W848" s="69">
        <f t="shared" si="248"/>
        <v>0.36453710099529019</v>
      </c>
      <c r="X848" s="69">
        <f t="shared" si="249"/>
        <v>0.60376907919774281</v>
      </c>
      <c r="Y848" s="70">
        <f t="shared" si="250"/>
        <v>1.5739449868651476E-4</v>
      </c>
      <c r="Z848" s="70">
        <f t="shared" si="251"/>
        <v>1.5816796993474867E-5</v>
      </c>
      <c r="AA848" s="70">
        <f t="shared" si="252"/>
        <v>5.9226690381661669E-13</v>
      </c>
      <c r="AB848" s="70">
        <f t="shared" ref="AB848:AB853" si="253">(($T$847*V848)*SQRT($R$11*T848))*(1-D63)</f>
        <v>2.8515147658695962E-9</v>
      </c>
      <c r="AC848" s="70"/>
      <c r="AD848" s="70"/>
      <c r="AE848" s="70"/>
      <c r="AF848" s="70"/>
      <c r="AG848" s="70"/>
      <c r="AH848" s="70"/>
    </row>
    <row r="849" spans="19:34" x14ac:dyDescent="0.25">
      <c r="S849" s="116"/>
      <c r="T849" s="70">
        <f>+I50</f>
        <v>1.0833333333333336E-4</v>
      </c>
      <c r="U849" s="69">
        <f t="shared" si="246"/>
        <v>9.7671762016711189E-9</v>
      </c>
      <c r="V849" s="69">
        <f t="shared" si="247"/>
        <v>9.7991607638888917E-5</v>
      </c>
      <c r="W849" s="69">
        <f t="shared" si="248"/>
        <v>0.57891172563229198</v>
      </c>
      <c r="X849" s="69">
        <f t="shared" si="249"/>
        <v>0.76086248799128742</v>
      </c>
      <c r="Y849" s="70">
        <f t="shared" si="250"/>
        <v>7.497566396537726E-5</v>
      </c>
      <c r="Z849" s="70">
        <f t="shared" si="251"/>
        <v>7.5344110898900454E-6</v>
      </c>
      <c r="AA849" s="70">
        <f t="shared" si="252"/>
        <v>3.077722045192452E-13</v>
      </c>
      <c r="AB849" s="70">
        <f t="shared" si="253"/>
        <v>6.3906721531919943E-10</v>
      </c>
      <c r="AC849" s="70">
        <f>(($T$848*W849)*SQRT($R$12*U849))*(1-E64)</f>
        <v>2.2176807522982896E-8</v>
      </c>
      <c r="AD849" s="70"/>
      <c r="AE849" s="70"/>
      <c r="AF849" s="70"/>
      <c r="AG849" s="70"/>
      <c r="AH849" s="70"/>
    </row>
    <row r="850" spans="19:34" x14ac:dyDescent="0.25">
      <c r="S850" s="116"/>
      <c r="T850" s="70">
        <f>+H50</f>
        <v>1.1291666666666671E-4</v>
      </c>
      <c r="U850" s="69">
        <f t="shared" si="246"/>
        <v>9.9493090381971405E-9</v>
      </c>
      <c r="V850" s="69">
        <f t="shared" si="247"/>
        <v>1.0213740642361116E-4</v>
      </c>
      <c r="W850" s="69">
        <f t="shared" si="248"/>
        <v>0.54235185847350886</v>
      </c>
      <c r="X850" s="69">
        <f t="shared" si="249"/>
        <v>0.73644542124553181</v>
      </c>
      <c r="Y850" s="70">
        <f t="shared" si="250"/>
        <v>7.3488596916695473E-5</v>
      </c>
      <c r="Z850" s="70">
        <f t="shared" si="251"/>
        <v>7.3849736075068011E-6</v>
      </c>
      <c r="AA850" s="70">
        <f t="shared" si="252"/>
        <v>3.0751513403090802E-13</v>
      </c>
      <c r="AB850" s="70">
        <f t="shared" si="253"/>
        <v>6.6932153640238457E-10</v>
      </c>
      <c r="AC850" s="70">
        <f>(($T$848*W850)*SQRT($R$12*U850))*(1-E65)</f>
        <v>2.0969098650433724E-8</v>
      </c>
      <c r="AD850" s="70">
        <f>(($T$849*X850)*SQRT($R$13*V850))*(1-F65)</f>
        <v>1.348421859212822E-6</v>
      </c>
      <c r="AE850" s="70"/>
      <c r="AF850" s="70"/>
      <c r="AG850" s="70"/>
      <c r="AH850" s="70"/>
    </row>
    <row r="851" spans="19:34" x14ac:dyDescent="0.25">
      <c r="S851" s="116"/>
      <c r="T851" s="70">
        <f>+D50</f>
        <v>1.7916666666666672E-4</v>
      </c>
      <c r="U851" s="69">
        <f t="shared" si="246"/>
        <v>1.9447765325523971E-8</v>
      </c>
      <c r="V851" s="69">
        <f t="shared" si="247"/>
        <v>1.6206304340277784E-4</v>
      </c>
      <c r="W851" s="69">
        <f t="shared" si="248"/>
        <v>0.8050809492880614</v>
      </c>
      <c r="X851" s="69">
        <f t="shared" si="249"/>
        <v>0.89726303238685889</v>
      </c>
      <c r="Y851" s="70">
        <f t="shared" si="250"/>
        <v>1.3927674165988766E-4</v>
      </c>
      <c r="Z851" s="70">
        <f t="shared" si="251"/>
        <v>1.3996117825786677E-5</v>
      </c>
      <c r="AA851" s="70">
        <f t="shared" si="252"/>
        <v>6.7913207027657085E-13</v>
      </c>
      <c r="AB851" s="70">
        <f t="shared" si="253"/>
        <v>1.3735127979249438E-9</v>
      </c>
      <c r="AC851" s="70">
        <f>(($T$848*W851)*SQRT($R$12*U851))*(1-E66)</f>
        <v>4.3518766022516649E-8</v>
      </c>
      <c r="AD851" s="70">
        <f>(($T$849*X851)*SQRT($R$13*V851))*(1-F66)</f>
        <v>2.0810371824023407E-6</v>
      </c>
      <c r="AE851" s="70">
        <f>(($T$850*Y851)*SQRT($R$14*W851))*(1-G66)</f>
        <v>2.2841336626486771E-8</v>
      </c>
      <c r="AF851" s="70"/>
      <c r="AG851" s="70"/>
      <c r="AH851" s="70"/>
    </row>
    <row r="852" spans="19:34" x14ac:dyDescent="0.25">
      <c r="S852" s="116"/>
      <c r="T852" s="70">
        <f>+J50</f>
        <v>3.6597916666666674E-2</v>
      </c>
      <c r="U852" s="69">
        <f t="shared" si="246"/>
        <v>8.787251545184077E-7</v>
      </c>
      <c r="V852" s="69">
        <f t="shared" si="247"/>
        <v>3.3104203296006954E-2</v>
      </c>
      <c r="W852" s="69">
        <f t="shared" si="248"/>
        <v>1.8651528335962096E-2</v>
      </c>
      <c r="X852" s="69">
        <f t="shared" si="249"/>
        <v>0.13657059835836591</v>
      </c>
      <c r="Y852" s="70">
        <f t="shared" si="250"/>
        <v>4.3804558598057345E-3</v>
      </c>
      <c r="Z852" s="70">
        <f t="shared" si="251"/>
        <v>4.4019823851289969E-4</v>
      </c>
      <c r="AA852" s="70">
        <f t="shared" si="252"/>
        <v>1.355331886727386E-11</v>
      </c>
      <c r="AB852" s="70">
        <f t="shared" si="253"/>
        <v>3.6708082913635624E-6</v>
      </c>
      <c r="AC852" s="70">
        <f>(($T$848*W852)*SQRT($R$12*U852))*(1-E67)</f>
        <v>6.0770147896523727E-9</v>
      </c>
      <c r="AD852" s="70">
        <f>(($T$849*X852)*SQRT($R$13*V852))*(1-F67)</f>
        <v>4.1417074081409576E-6</v>
      </c>
      <c r="AE852" s="70">
        <f>(($T$850*Y852)*SQRT($R$14*W852))*(1-G67)</f>
        <v>9.926355854024474E-8</v>
      </c>
      <c r="AF852" s="70">
        <f>(($T$851*Z852)*SQRT($R$15*X852))*(1-H67)</f>
        <v>5.1733389120803673E-8</v>
      </c>
      <c r="AG852" s="70"/>
      <c r="AH852" s="70"/>
    </row>
    <row r="853" spans="19:34" x14ac:dyDescent="0.25">
      <c r="S853" s="116"/>
      <c r="T853" s="70">
        <f>L50</f>
        <v>2.2937499999999998E-3</v>
      </c>
      <c r="U853" s="69">
        <f t="shared" si="246"/>
        <v>6.1136835606402756E-8</v>
      </c>
      <c r="V853" s="69">
        <f t="shared" si="247"/>
        <v>2.0747838463541666E-3</v>
      </c>
      <c r="W853" s="69">
        <f t="shared" si="248"/>
        <v>8.5334097849090448E-2</v>
      </c>
      <c r="X853" s="69">
        <f t="shared" si="249"/>
        <v>0.29212000590355064</v>
      </c>
      <c r="Y853" s="70">
        <f t="shared" si="250"/>
        <v>5.503865780435227E-4</v>
      </c>
      <c r="Z853" s="70">
        <f t="shared" si="251"/>
        <v>5.5309129896504863E-5</v>
      </c>
      <c r="AA853" s="70">
        <f t="shared" si="252"/>
        <v>9.0898758990798645E-13</v>
      </c>
      <c r="AB853" s="70">
        <f t="shared" si="253"/>
        <v>5.5147350357741966E-8</v>
      </c>
      <c r="AC853" s="70">
        <f>(($T$848*W853)*SQRT($R$12*U853))*(1-E68)</f>
        <v>7.1971229439351334E-9</v>
      </c>
      <c r="AD853" s="70">
        <f>(($T$849*X853)*SQRT($R$13*V853))*(1-F68)</f>
        <v>2.0893410227578319E-6</v>
      </c>
      <c r="AE853" s="70">
        <f>(($T$850*Y853)*SQRT($R$14*W853))*(1-G68)</f>
        <v>2.2951089701928881E-8</v>
      </c>
      <c r="AF853" s="70">
        <f>(($T$851*Z853)*SQRT($R$15*X853))*(1-H68)</f>
        <v>9.2720244435956076E-9</v>
      </c>
      <c r="AG853" s="70">
        <f>(($T$852*AA853)*SQRT($R$16*Y853))*(1-I68)</f>
        <v>2.0850668315654301E-16</v>
      </c>
      <c r="AH853" s="70"/>
    </row>
    <row r="854" spans="19:34" x14ac:dyDescent="0.25">
      <c r="S854" s="116"/>
      <c r="T854" s="130" t="s">
        <v>77</v>
      </c>
      <c r="U854" s="133">
        <f>SUM(U844:U853)</f>
        <v>2.7572927275541958E-5</v>
      </c>
      <c r="V854" s="108"/>
      <c r="W854" s="108"/>
      <c r="X854" s="108"/>
      <c r="Y854" s="70">
        <f>SUM(Y845:Y853)</f>
        <v>2.4039874144408103E-2</v>
      </c>
      <c r="Z854" s="70">
        <f t="shared" ref="Z854:AG854" si="254">SUM(Z845:Z853)</f>
        <v>7.0109309346265641E-4</v>
      </c>
      <c r="AA854" s="70">
        <f t="shared" si="254"/>
        <v>1.7299150591580256E-11</v>
      </c>
      <c r="AB854" s="70">
        <f t="shared" si="254"/>
        <v>3.7314890580368206E-6</v>
      </c>
      <c r="AC854" s="70">
        <f t="shared" si="254"/>
        <v>9.9938809929520775E-8</v>
      </c>
      <c r="AD854" s="70">
        <f t="shared" si="254"/>
        <v>9.6605074725139526E-6</v>
      </c>
      <c r="AE854" s="70">
        <f t="shared" si="254"/>
        <v>1.4505598486866039E-7</v>
      </c>
      <c r="AF854" s="70">
        <f t="shared" si="254"/>
        <v>6.100541356439928E-8</v>
      </c>
      <c r="AG854" s="70">
        <f t="shared" si="254"/>
        <v>2.0850668315654301E-16</v>
      </c>
      <c r="AH854" s="130">
        <f>SUM(Y854:AG854)</f>
        <v>2.4754665251909034E-2</v>
      </c>
    </row>
    <row r="855" spans="19:34" x14ac:dyDescent="0.25">
      <c r="S855" s="116"/>
    </row>
    <row r="856" spans="19:34" x14ac:dyDescent="0.25">
      <c r="S856" s="116"/>
      <c r="T856" s="112" t="s">
        <v>99</v>
      </c>
      <c r="U856" s="108"/>
      <c r="V856" s="108"/>
      <c r="W856" s="108"/>
      <c r="X856" s="108"/>
      <c r="Y856" s="108"/>
      <c r="Z856" s="108"/>
      <c r="AA856" s="108"/>
      <c r="AB856" s="108"/>
    </row>
    <row r="857" spans="19:34" x14ac:dyDescent="0.25">
      <c r="S857" s="116"/>
      <c r="T857" s="137" t="s">
        <v>100</v>
      </c>
      <c r="U857" s="138">
        <f>+AH854</f>
        <v>2.4754665251909034E-2</v>
      </c>
      <c r="V857" s="138" t="s">
        <v>101</v>
      </c>
      <c r="W857" s="139"/>
      <c r="X857" s="108"/>
      <c r="Y857" s="108"/>
      <c r="Z857" s="108"/>
      <c r="AA857" s="108"/>
      <c r="AB857" s="108"/>
    </row>
    <row r="858" spans="19:34" x14ac:dyDescent="0.25">
      <c r="S858" s="116"/>
      <c r="T858" s="137" t="s">
        <v>103</v>
      </c>
      <c r="U858" s="138">
        <f>+U854</f>
        <v>2.7572927275541958E-5</v>
      </c>
      <c r="V858" s="138" t="s">
        <v>101</v>
      </c>
      <c r="W858" s="108"/>
      <c r="X858" s="108"/>
      <c r="Y858" s="108"/>
      <c r="Z858" s="140" t="e">
        <f>(U862*U862)+(2*U858*U862)-(U858*U858)</f>
        <v>#DIV/0!</v>
      </c>
      <c r="AA858" s="108"/>
      <c r="AB858" s="108"/>
    </row>
    <row r="859" spans="19:34" x14ac:dyDescent="0.25">
      <c r="S859" s="116"/>
      <c r="T859" s="137" t="s">
        <v>104</v>
      </c>
      <c r="U859" s="138">
        <v>8.3145100000000003</v>
      </c>
      <c r="V859" s="138" t="s">
        <v>105</v>
      </c>
      <c r="W859" s="108"/>
      <c r="X859" s="108"/>
      <c r="Y859" s="108"/>
      <c r="Z859" s="140"/>
      <c r="AA859" s="108"/>
      <c r="AB859" s="108"/>
    </row>
    <row r="860" spans="19:34" x14ac:dyDescent="0.25">
      <c r="S860" s="116"/>
      <c r="T860" s="137" t="s">
        <v>106</v>
      </c>
      <c r="U860" s="141">
        <f>B50*98066.5</f>
        <v>0</v>
      </c>
      <c r="V860" s="142" t="s">
        <v>107</v>
      </c>
      <c r="W860" s="108"/>
      <c r="X860" s="108"/>
      <c r="Y860" s="108"/>
      <c r="Z860" s="140" t="e">
        <f>U857/Z858</f>
        <v>#DIV/0!</v>
      </c>
      <c r="AA860" s="108"/>
      <c r="AB860" s="108"/>
    </row>
    <row r="861" spans="19:34" x14ac:dyDescent="0.25">
      <c r="S861" s="116"/>
      <c r="T861" s="137" t="s">
        <v>108</v>
      </c>
      <c r="U861" s="141" t="s">
        <v>109</v>
      </c>
      <c r="V861" s="138" t="s">
        <v>110</v>
      </c>
      <c r="W861" s="108"/>
      <c r="X861" s="108"/>
      <c r="Y861" s="108"/>
      <c r="Z861" s="140"/>
      <c r="AA861" s="108"/>
      <c r="AB861" s="108"/>
    </row>
    <row r="862" spans="19:34" x14ac:dyDescent="0.25">
      <c r="S862" s="116"/>
      <c r="T862" s="137" t="s">
        <v>112</v>
      </c>
      <c r="U862" s="138" t="e">
        <f>+U870</f>
        <v>#DIV/0!</v>
      </c>
      <c r="V862" s="138" t="s">
        <v>113</v>
      </c>
      <c r="W862" s="108"/>
      <c r="X862" s="108"/>
      <c r="Y862" s="108"/>
      <c r="Z862" s="140" t="e">
        <f>U862-U858</f>
        <v>#DIV/0!</v>
      </c>
      <c r="AA862" s="108"/>
      <c r="AB862" s="108"/>
    </row>
    <row r="863" spans="19:34" x14ac:dyDescent="0.25">
      <c r="S863" s="116"/>
      <c r="T863" s="108"/>
      <c r="U863" s="108"/>
      <c r="V863" s="108"/>
      <c r="W863" s="108"/>
      <c r="X863" s="108"/>
      <c r="Y863" s="108"/>
      <c r="Z863" s="108"/>
      <c r="AA863" s="108"/>
      <c r="AB863" s="108"/>
    </row>
    <row r="864" spans="19:34" x14ac:dyDescent="0.25">
      <c r="S864" s="116"/>
      <c r="T864" s="108"/>
      <c r="U864" s="108"/>
      <c r="V864" s="108"/>
      <c r="W864" s="108"/>
      <c r="X864" s="108"/>
      <c r="Y864" s="108"/>
      <c r="Z864" s="108"/>
      <c r="AA864" s="108"/>
      <c r="AB864" s="108"/>
    </row>
    <row r="865" spans="19:34" x14ac:dyDescent="0.25">
      <c r="S865" s="116"/>
      <c r="T865" s="108"/>
      <c r="U865" s="108"/>
      <c r="V865" s="108"/>
      <c r="W865" s="108"/>
      <c r="X865" s="108"/>
      <c r="Y865" s="108"/>
      <c r="Z865" s="108"/>
      <c r="AA865" s="108"/>
      <c r="AB865" s="108"/>
    </row>
    <row r="866" spans="19:34" x14ac:dyDescent="0.25">
      <c r="S866" s="116"/>
      <c r="T866" s="108" t="s">
        <v>116</v>
      </c>
      <c r="U866" s="108">
        <v>0.98</v>
      </c>
      <c r="V866" s="108"/>
      <c r="W866" s="108"/>
      <c r="X866" s="108"/>
      <c r="Y866" s="108"/>
      <c r="Z866" s="108"/>
      <c r="AA866" s="108"/>
      <c r="AB866" s="108"/>
    </row>
    <row r="867" spans="19:34" x14ac:dyDescent="0.25">
      <c r="S867" s="116"/>
      <c r="T867" s="108" t="s">
        <v>106</v>
      </c>
      <c r="U867" s="143">
        <f>U860</f>
        <v>0</v>
      </c>
      <c r="V867" s="108" t="s">
        <v>117</v>
      </c>
      <c r="W867" s="108"/>
      <c r="X867" s="108"/>
      <c r="Y867" s="108"/>
      <c r="Z867" s="108"/>
      <c r="AA867" s="108"/>
      <c r="AB867" s="108"/>
    </row>
    <row r="868" spans="19:34" x14ac:dyDescent="0.25">
      <c r="S868" s="116"/>
      <c r="T868" s="108" t="s">
        <v>118</v>
      </c>
      <c r="U868" s="143">
        <f>C50+273.15</f>
        <v>273.14999999999998</v>
      </c>
      <c r="V868" s="108" t="s">
        <v>49</v>
      </c>
      <c r="W868" s="108"/>
      <c r="X868" s="108"/>
      <c r="Y868" s="108"/>
      <c r="Z868" s="108"/>
      <c r="AA868" s="108"/>
      <c r="AB868" s="108"/>
    </row>
    <row r="869" spans="19:34" x14ac:dyDescent="0.25">
      <c r="S869" s="116"/>
      <c r="T869" s="108"/>
      <c r="U869" s="108"/>
      <c r="V869" s="108"/>
      <c r="W869" s="108"/>
      <c r="X869" s="108"/>
      <c r="Y869" s="108"/>
      <c r="Z869" s="108"/>
      <c r="AA869" s="108"/>
      <c r="AB869" s="108"/>
    </row>
    <row r="870" spans="19:34" x14ac:dyDescent="0.25">
      <c r="S870" s="116"/>
      <c r="T870" s="108" t="s">
        <v>121</v>
      </c>
      <c r="U870" s="108" t="e">
        <f>(0.98*U859*U868)/U867</f>
        <v>#DIV/0!</v>
      </c>
      <c r="V870" s="108" t="s">
        <v>113</v>
      </c>
      <c r="W870" s="108"/>
      <c r="X870" s="108"/>
      <c r="Y870" s="108"/>
      <c r="Z870" s="108"/>
      <c r="AA870" s="108"/>
      <c r="AB870" s="108"/>
    </row>
    <row r="871" spans="19:34" x14ac:dyDescent="0.25">
      <c r="S871" s="116"/>
      <c r="T871" s="147"/>
      <c r="U871" s="116"/>
      <c r="V871" s="116"/>
      <c r="W871" s="116"/>
      <c r="X871" s="116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</row>
    <row r="872" spans="19:34" ht="15.75" thickBot="1" x14ac:dyDescent="0.3">
      <c r="S872" s="116"/>
      <c r="T872" s="147"/>
      <c r="U872" s="116"/>
      <c r="V872" s="116"/>
      <c r="W872" s="116"/>
      <c r="X872" s="116"/>
      <c r="Y872" s="147"/>
      <c r="Z872" s="147"/>
      <c r="AA872" s="147"/>
      <c r="AB872" s="147"/>
      <c r="AC872" s="147"/>
      <c r="AD872" s="147"/>
      <c r="AE872" s="147"/>
      <c r="AF872" s="147"/>
      <c r="AG872" s="147"/>
      <c r="AH872" s="147"/>
    </row>
    <row r="873" spans="19:34" ht="15.75" thickBot="1" x14ac:dyDescent="0.3">
      <c r="S873" s="116"/>
      <c r="V873" s="162" t="s">
        <v>60</v>
      </c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3"/>
      <c r="AG873" s="163"/>
      <c r="AH873" s="164"/>
    </row>
    <row r="874" spans="19:34" x14ac:dyDescent="0.25">
      <c r="S874" s="116"/>
      <c r="Y874" s="175" t="s">
        <v>63</v>
      </c>
      <c r="Z874" s="175"/>
      <c r="AA874" s="175"/>
      <c r="AB874" s="175"/>
      <c r="AC874" s="175"/>
      <c r="AD874" s="175"/>
      <c r="AE874" s="175"/>
      <c r="AF874" s="175"/>
      <c r="AG874" s="175"/>
      <c r="AH874" s="175"/>
    </row>
    <row r="875" spans="19:34" ht="17.25" x14ac:dyDescent="0.25">
      <c r="S875" s="116">
        <v>28</v>
      </c>
      <c r="T875" s="70" t="s">
        <v>76</v>
      </c>
      <c r="U875" s="130" t="s">
        <v>77</v>
      </c>
      <c r="V875" s="70" t="s">
        <v>78</v>
      </c>
      <c r="W875" s="70" t="s">
        <v>79</v>
      </c>
      <c r="X875" s="70" t="s">
        <v>80</v>
      </c>
      <c r="Y875" s="131" t="s">
        <v>30</v>
      </c>
      <c r="Z875" s="131" t="s">
        <v>32</v>
      </c>
      <c r="AA875" s="131" t="s">
        <v>81</v>
      </c>
      <c r="AB875" s="131" t="s">
        <v>25</v>
      </c>
      <c r="AC875" s="131" t="s">
        <v>26</v>
      </c>
      <c r="AD875" s="131" t="s">
        <v>27</v>
      </c>
      <c r="AE875" s="131" t="s">
        <v>28</v>
      </c>
      <c r="AF875" s="131" t="s">
        <v>82</v>
      </c>
      <c r="AG875" s="131" t="s">
        <v>29</v>
      </c>
      <c r="AH875" s="132" t="s">
        <v>31</v>
      </c>
    </row>
    <row r="876" spans="19:34" x14ac:dyDescent="0.25">
      <c r="S876" s="116"/>
      <c r="T876" s="70">
        <f>K51</f>
        <v>0.90437291666666664</v>
      </c>
      <c r="U876" s="69">
        <f>+S8*T876</f>
        <v>2.4239973435345947E-5</v>
      </c>
      <c r="V876" s="69">
        <f>$T$876*T876</f>
        <v>0.81789037240017359</v>
      </c>
      <c r="W876" s="69">
        <f>$R$8*R8</f>
        <v>4.2845172623208805E-2</v>
      </c>
      <c r="X876" s="69">
        <f>SQRT(W876)</f>
        <v>0.20699075492207086</v>
      </c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</row>
    <row r="877" spans="19:34" x14ac:dyDescent="0.25">
      <c r="S877" s="116"/>
      <c r="T877" s="70">
        <f>M51</f>
        <v>5.0674166666666666E-2</v>
      </c>
      <c r="U877" s="69">
        <f t="shared" ref="U877:U885" si="255">+S9*T877</f>
        <v>2.0542384155334642E-6</v>
      </c>
      <c r="V877" s="69">
        <f t="shared" ref="V877:V885" si="256">$T$876*T877</f>
        <v>4.582834390798611E-2</v>
      </c>
      <c r="W877" s="69">
        <f t="shared" ref="W877:W885" si="257">$R$8*R9</f>
        <v>0.12918986849197683</v>
      </c>
      <c r="X877" s="69">
        <f t="shared" ref="X877:X885" si="258">SQRT(W877)</f>
        <v>0.35942992153127268</v>
      </c>
      <c r="Y877" s="70">
        <f t="shared" ref="Y877:Y885" si="259">(($T$876*T877)*SQRT($R$8*R9))*(1-B60)</f>
        <v>1.6514905457697987E-2</v>
      </c>
      <c r="Z877" s="70"/>
      <c r="AA877" s="70"/>
      <c r="AB877" s="70"/>
      <c r="AC877" s="70"/>
      <c r="AD877" s="70"/>
      <c r="AE877" s="70"/>
      <c r="AF877" s="70"/>
      <c r="AG877" s="70"/>
      <c r="AH877" s="70"/>
    </row>
    <row r="878" spans="19:34" x14ac:dyDescent="0.25">
      <c r="S878" s="116"/>
      <c r="T878" s="70">
        <f>+E51</f>
        <v>3.6137499999999993E-3</v>
      </c>
      <c r="U878" s="69">
        <f t="shared" si="255"/>
        <v>2.0351292257615029E-7</v>
      </c>
      <c r="V878" s="69">
        <f t="shared" si="256"/>
        <v>3.2681776276041658E-3</v>
      </c>
      <c r="W878" s="69">
        <f t="shared" si="257"/>
        <v>0.24193902239770376</v>
      </c>
      <c r="X878" s="69">
        <f t="shared" si="258"/>
        <v>0.49187297384355622</v>
      </c>
      <c r="Y878" s="70">
        <f t="shared" si="259"/>
        <v>1.5850228532562985E-3</v>
      </c>
      <c r="Z878" s="70">
        <f t="shared" ref="Z878:Z885" si="260">(($T$877*T878)*SQRT($R$9*R10))*(1-B61)</f>
        <v>1.5421899741647219E-4</v>
      </c>
      <c r="AA878" s="70"/>
      <c r="AB878" s="70"/>
      <c r="AC878" s="70"/>
      <c r="AD878" s="70"/>
      <c r="AE878" s="70"/>
      <c r="AF878" s="70"/>
      <c r="AG878" s="70"/>
      <c r="AH878" s="70"/>
    </row>
    <row r="879" spans="19:34" x14ac:dyDescent="0.25">
      <c r="S879" s="116"/>
      <c r="T879" s="70">
        <f>+G51</f>
        <v>6.3166666666666677E-4</v>
      </c>
      <c r="U879" s="69">
        <f t="shared" si="255"/>
        <v>4.5760372374614264E-8</v>
      </c>
      <c r="V879" s="69">
        <f t="shared" si="256"/>
        <v>5.7126222569444448E-4</v>
      </c>
      <c r="W879" s="69">
        <f t="shared" si="257"/>
        <v>0.39059496580954223</v>
      </c>
      <c r="X879" s="69">
        <f t="shared" si="258"/>
        <v>0.62497597218576506</v>
      </c>
      <c r="Y879" s="70">
        <f t="shared" si="259"/>
        <v>3.4788532065555379E-4</v>
      </c>
      <c r="Z879" s="70">
        <f t="shared" si="260"/>
        <v>3.3848423861641415E-5</v>
      </c>
      <c r="AA879" s="70">
        <f t="shared" ref="AA879:AA885" si="261">(($T$878*U879)*SQRT($R$10*S11))*(1-C62)</f>
        <v>1.5318844397078596E-12</v>
      </c>
      <c r="AB879" s="70"/>
      <c r="AC879" s="70"/>
      <c r="AD879" s="70"/>
      <c r="AE879" s="70"/>
      <c r="AF879" s="70"/>
      <c r="AG879" s="70"/>
      <c r="AH879" s="70"/>
    </row>
    <row r="880" spans="19:34" x14ac:dyDescent="0.25">
      <c r="S880" s="116"/>
      <c r="T880" s="70">
        <f>+F51</f>
        <v>3.7625000000000017E-4</v>
      </c>
      <c r="U880" s="69">
        <f t="shared" si="255"/>
        <v>2.726707818096443E-8</v>
      </c>
      <c r="V880" s="69">
        <f t="shared" si="256"/>
        <v>3.4027030989583349E-4</v>
      </c>
      <c r="W880" s="69">
        <f t="shared" si="257"/>
        <v>0.36453710099529019</v>
      </c>
      <c r="X880" s="69">
        <f t="shared" si="258"/>
        <v>0.60376907919774281</v>
      </c>
      <c r="Y880" s="70">
        <f t="shared" si="259"/>
        <v>2.0271227728473895E-4</v>
      </c>
      <c r="Z880" s="70">
        <f t="shared" si="260"/>
        <v>1.9723428026691839E-5</v>
      </c>
      <c r="AA880" s="70">
        <f t="shared" si="261"/>
        <v>8.981851565172308E-13</v>
      </c>
      <c r="AB880" s="70">
        <f t="shared" ref="AB880:AB885" si="262">(($T$879*V880)*SQRT($R$11*T880))*(1-D63)</f>
        <v>5.7082446108238411E-9</v>
      </c>
      <c r="AC880" s="70"/>
      <c r="AD880" s="70"/>
      <c r="AE880" s="70"/>
      <c r="AF880" s="70"/>
      <c r="AG880" s="70"/>
      <c r="AH880" s="70"/>
    </row>
    <row r="881" spans="19:34" x14ac:dyDescent="0.25">
      <c r="S881" s="116"/>
      <c r="T881" s="70">
        <f>+I51</f>
        <v>1.5625000000000003E-4</v>
      </c>
      <c r="U881" s="69">
        <f t="shared" si="255"/>
        <v>1.4087273367794883E-8</v>
      </c>
      <c r="V881" s="69">
        <f t="shared" si="256"/>
        <v>1.413082682291667E-4</v>
      </c>
      <c r="W881" s="69">
        <f t="shared" si="257"/>
        <v>0.57891172563229198</v>
      </c>
      <c r="X881" s="69">
        <f t="shared" si="258"/>
        <v>0.76086248799128742</v>
      </c>
      <c r="Y881" s="70">
        <f t="shared" si="259"/>
        <v>1.0811825103760003E-4</v>
      </c>
      <c r="Z881" s="70">
        <f t="shared" si="260"/>
        <v>1.0519651652457885E-5</v>
      </c>
      <c r="AA881" s="70">
        <f t="shared" si="261"/>
        <v>5.2259589211414751E-13</v>
      </c>
      <c r="AB881" s="70">
        <f t="shared" si="262"/>
        <v>1.5156738929095193E-9</v>
      </c>
      <c r="AC881" s="70">
        <f>(($T$880*W881)*SQRT($R$12*U881))*(1-E64)</f>
        <v>3.4308183114364344E-8</v>
      </c>
      <c r="AD881" s="70"/>
      <c r="AE881" s="70"/>
      <c r="AF881" s="70"/>
      <c r="AG881" s="70"/>
      <c r="AH881" s="70"/>
    </row>
    <row r="882" spans="19:34" x14ac:dyDescent="0.25">
      <c r="S882" s="116"/>
      <c r="T882" s="70">
        <f>+H51</f>
        <v>1.5583333333333337E-4</v>
      </c>
      <c r="U882" s="69">
        <f t="shared" si="255"/>
        <v>1.3730780739061735E-8</v>
      </c>
      <c r="V882" s="69">
        <f t="shared" si="256"/>
        <v>1.4093144618055559E-4</v>
      </c>
      <c r="W882" s="69">
        <f t="shared" si="257"/>
        <v>0.54235185847350886</v>
      </c>
      <c r="X882" s="69">
        <f t="shared" si="258"/>
        <v>0.73644542124553181</v>
      </c>
      <c r="Y882" s="70">
        <f t="shared" si="259"/>
        <v>1.0140118692945008E-4</v>
      </c>
      <c r="Z882" s="70">
        <f t="shared" si="260"/>
        <v>9.8660971057755538E-6</v>
      </c>
      <c r="AA882" s="70">
        <f t="shared" si="261"/>
        <v>4.9962882009796582E-13</v>
      </c>
      <c r="AB882" s="70">
        <f t="shared" si="262"/>
        <v>1.4858009040349571E-9</v>
      </c>
      <c r="AC882" s="70">
        <f>(($T$880*W882)*SQRT($R$12*U882))*(1-E65)</f>
        <v>3.1732234195341333E-8</v>
      </c>
      <c r="AD882" s="70">
        <f>(($T$881*X882)*SQRT($R$13*V882))*(1-F65)</f>
        <v>2.2845214779656478E-6</v>
      </c>
      <c r="AE882" s="70"/>
      <c r="AF882" s="70"/>
      <c r="AG882" s="70"/>
      <c r="AH882" s="70"/>
    </row>
    <row r="883" spans="19:34" x14ac:dyDescent="0.25">
      <c r="S883" s="116"/>
      <c r="T883" s="70">
        <f>+D51</f>
        <v>2.2666666666666668E-4</v>
      </c>
      <c r="U883" s="69">
        <f t="shared" si="255"/>
        <v>2.4603684504848926E-8</v>
      </c>
      <c r="V883" s="69">
        <f t="shared" si="256"/>
        <v>2.0499119444444445E-4</v>
      </c>
      <c r="W883" s="69">
        <f t="shared" si="257"/>
        <v>0.8050809492880614</v>
      </c>
      <c r="X883" s="69">
        <f t="shared" si="258"/>
        <v>0.89726303238685889</v>
      </c>
      <c r="Y883" s="70">
        <f t="shared" si="259"/>
        <v>1.7616913166460576E-4</v>
      </c>
      <c r="Z883" s="70">
        <f t="shared" si="260"/>
        <v>1.7140842357717611E-5</v>
      </c>
      <c r="AA883" s="70">
        <f t="shared" si="261"/>
        <v>1.0114941143429474E-12</v>
      </c>
      <c r="AB883" s="70">
        <f t="shared" si="262"/>
        <v>2.6760900824110887E-9</v>
      </c>
      <c r="AC883" s="70">
        <f>(($T$880*W883)*SQRT($R$12*U883))*(1-E66)</f>
        <v>6.3053838029534277E-8</v>
      </c>
      <c r="AD883" s="70">
        <f>(($T$881*X883)*SQRT($R$13*V883))*(1-F66)</f>
        <v>3.3756962986140375E-6</v>
      </c>
      <c r="AE883" s="70">
        <f>(($T$882*Y883)*SQRT($R$14*W883))*(1-G66)</f>
        <v>3.9872644563747412E-8</v>
      </c>
      <c r="AF883" s="70"/>
      <c r="AG883" s="70"/>
      <c r="AH883" s="70"/>
    </row>
    <row r="884" spans="19:34" x14ac:dyDescent="0.25">
      <c r="S884" s="116"/>
      <c r="T884" s="70">
        <f>+J51</f>
        <v>3.7516666666666663E-2</v>
      </c>
      <c r="U884" s="69">
        <f t="shared" si="255"/>
        <v>9.0078457235540969E-7</v>
      </c>
      <c r="V884" s="69">
        <f t="shared" si="256"/>
        <v>3.3929057256944443E-2</v>
      </c>
      <c r="W884" s="69">
        <f t="shared" si="257"/>
        <v>1.8651528335962096E-2</v>
      </c>
      <c r="X884" s="69">
        <f t="shared" si="258"/>
        <v>0.13657059835836591</v>
      </c>
      <c r="Y884" s="70">
        <f t="shared" si="259"/>
        <v>4.4896032189602267E-3</v>
      </c>
      <c r="Z884" s="70">
        <f t="shared" si="260"/>
        <v>4.3682783866703912E-4</v>
      </c>
      <c r="AA884" s="70">
        <f t="shared" si="261"/>
        <v>1.6356569121184602E-11</v>
      </c>
      <c r="AB884" s="70">
        <f t="shared" si="262"/>
        <v>5.216580060340577E-6</v>
      </c>
      <c r="AC884" s="70">
        <f>(($T$880*W884)*SQRT($R$12*U884))*(1-E67)</f>
        <v>7.9258156375226067E-9</v>
      </c>
      <c r="AD884" s="70">
        <f>(($T$881*X884)*SQRT($R$13*V884))*(1-F67)</f>
        <v>6.0475805373399121E-6</v>
      </c>
      <c r="AE884" s="70">
        <f>(($T$882*Y884)*SQRT($R$14*W884))*(1-G67)</f>
        <v>1.4040442779593365E-7</v>
      </c>
      <c r="AF884" s="70">
        <f>(($T$883*Z884)*SQRT($R$15*X884))*(1-H67)</f>
        <v>6.4947641096939296E-8</v>
      </c>
      <c r="AG884" s="70"/>
      <c r="AH884" s="70"/>
    </row>
    <row r="885" spans="19:34" x14ac:dyDescent="0.25">
      <c r="S885" s="116"/>
      <c r="T885" s="70">
        <f>L51</f>
        <v>2.2695833333333331E-3</v>
      </c>
      <c r="U885" s="69">
        <f t="shared" si="255"/>
        <v>6.0492705458324392E-8</v>
      </c>
      <c r="V885" s="69">
        <f t="shared" si="256"/>
        <v>2.0525496987847218E-3</v>
      </c>
      <c r="W885" s="69">
        <f t="shared" si="257"/>
        <v>8.5334097849090448E-2</v>
      </c>
      <c r="X885" s="69">
        <f t="shared" si="258"/>
        <v>0.29212000590355064</v>
      </c>
      <c r="Y885" s="70">
        <f t="shared" si="259"/>
        <v>5.4448843283771487E-4</v>
      </c>
      <c r="Z885" s="70">
        <f t="shared" si="260"/>
        <v>5.2977444485792842E-5</v>
      </c>
      <c r="AA885" s="70">
        <f t="shared" si="261"/>
        <v>1.0588554650955395E-12</v>
      </c>
      <c r="AB885" s="70">
        <f t="shared" si="262"/>
        <v>7.4318524864463614E-8</v>
      </c>
      <c r="AC885" s="70">
        <f>(($T$880*W885)*SQRT($R$12*U885))*(1-E68)</f>
        <v>9.2220756368985823E-9</v>
      </c>
      <c r="AD885" s="70">
        <f>(($T$881*X885)*SQRT($R$13*V885))*(1-F68)</f>
        <v>2.9972823959400819E-6</v>
      </c>
      <c r="AE885" s="70">
        <f>(($T$882*Y885)*SQRT($R$14*W885))*(1-G68)</f>
        <v>3.1334765233110816E-8</v>
      </c>
      <c r="AF885" s="70">
        <f>(($T$883*Z885)*SQRT($R$15*X885))*(1-H68)</f>
        <v>1.1235675576231623E-8</v>
      </c>
      <c r="AG885" s="70">
        <f>(($T$884*AA885)*SQRT($R$16*Y885))*(1-I68)</f>
        <v>2.4764353840168135E-16</v>
      </c>
      <c r="AH885" s="70"/>
    </row>
    <row r="886" spans="19:34" x14ac:dyDescent="0.25">
      <c r="S886" s="116"/>
      <c r="T886" s="130" t="s">
        <v>77</v>
      </c>
      <c r="U886" s="133">
        <f>SUM(U876:U885)</f>
        <v>2.7584451240436583E-5</v>
      </c>
      <c r="V886" s="108"/>
      <c r="W886" s="108"/>
      <c r="X886" s="108"/>
      <c r="Y886" s="70">
        <f>SUM(Y877:Y885)</f>
        <v>2.4070306130324175E-2</v>
      </c>
      <c r="Z886" s="70">
        <f t="shared" ref="Z886:AG886" si="263">SUM(Z877:Z885)</f>
        <v>7.3512272357358847E-4</v>
      </c>
      <c r="AA886" s="70">
        <f t="shared" si="263"/>
        <v>2.1879213009060294E-11</v>
      </c>
      <c r="AB886" s="70">
        <f t="shared" si="263"/>
        <v>5.30228439469522E-6</v>
      </c>
      <c r="AC886" s="70">
        <f t="shared" si="263"/>
        <v>1.4624214661366115E-7</v>
      </c>
      <c r="AD886" s="70">
        <f t="shared" si="263"/>
        <v>1.4705080709859679E-5</v>
      </c>
      <c r="AE886" s="70">
        <f t="shared" si="263"/>
        <v>2.116118375927919E-7</v>
      </c>
      <c r="AF886" s="70">
        <f t="shared" si="263"/>
        <v>7.6183316673170921E-8</v>
      </c>
      <c r="AG886" s="70">
        <f t="shared" si="263"/>
        <v>2.4764353840168135E-16</v>
      </c>
      <c r="AH886" s="130">
        <f>SUM(Y886:AG886)</f>
        <v>2.4825870278182657E-2</v>
      </c>
    </row>
    <row r="887" spans="19:34" x14ac:dyDescent="0.25">
      <c r="S887" s="116"/>
    </row>
    <row r="888" spans="19:34" x14ac:dyDescent="0.25">
      <c r="S888" s="116"/>
      <c r="T888" s="112" t="s">
        <v>99</v>
      </c>
      <c r="U888" s="108"/>
      <c r="V888" s="108"/>
      <c r="W888" s="108"/>
      <c r="X888" s="108"/>
      <c r="Y888" s="108"/>
      <c r="Z888" s="108"/>
      <c r="AA888" s="108"/>
      <c r="AB888" s="108"/>
    </row>
    <row r="889" spans="19:34" x14ac:dyDescent="0.25">
      <c r="S889" s="116"/>
      <c r="T889" s="137" t="s">
        <v>100</v>
      </c>
      <c r="U889" s="138">
        <f>+AH886</f>
        <v>2.4825870278182657E-2</v>
      </c>
      <c r="V889" s="138" t="s">
        <v>101</v>
      </c>
      <c r="W889" s="139"/>
      <c r="X889" s="108"/>
      <c r="Y889" s="108"/>
      <c r="Z889" s="108"/>
      <c r="AA889" s="108"/>
      <c r="AB889" s="108"/>
    </row>
    <row r="890" spans="19:34" x14ac:dyDescent="0.25">
      <c r="S890" s="116"/>
      <c r="T890" s="137" t="s">
        <v>103</v>
      </c>
      <c r="U890" s="138">
        <f>+U886</f>
        <v>2.7584451240436583E-5</v>
      </c>
      <c r="V890" s="138" t="s">
        <v>101</v>
      </c>
      <c r="W890" s="108"/>
      <c r="X890" s="108"/>
      <c r="Y890" s="108"/>
      <c r="Z890" s="140" t="e">
        <f>(U894*U894)+(2*U890*U894)-(U890*U890)</f>
        <v>#DIV/0!</v>
      </c>
      <c r="AA890" s="108"/>
      <c r="AB890" s="108"/>
    </row>
    <row r="891" spans="19:34" x14ac:dyDescent="0.25">
      <c r="S891" s="116"/>
      <c r="T891" s="137" t="s">
        <v>104</v>
      </c>
      <c r="U891" s="138">
        <v>8.3145100000000003</v>
      </c>
      <c r="V891" s="138" t="s">
        <v>105</v>
      </c>
      <c r="W891" s="108"/>
      <c r="X891" s="108"/>
      <c r="Y891" s="108"/>
      <c r="Z891" s="140"/>
      <c r="AA891" s="108"/>
      <c r="AB891" s="108"/>
    </row>
    <row r="892" spans="19:34" x14ac:dyDescent="0.25">
      <c r="S892" s="116"/>
      <c r="T892" s="137" t="s">
        <v>106</v>
      </c>
      <c r="U892" s="141">
        <f>B51*98066.5</f>
        <v>0</v>
      </c>
      <c r="V892" s="142" t="s">
        <v>107</v>
      </c>
      <c r="W892" s="108"/>
      <c r="X892" s="108"/>
      <c r="Y892" s="108"/>
      <c r="Z892" s="140" t="e">
        <f>U889/Z890</f>
        <v>#DIV/0!</v>
      </c>
      <c r="AA892" s="108"/>
      <c r="AB892" s="108"/>
    </row>
    <row r="893" spans="19:34" x14ac:dyDescent="0.25">
      <c r="S893" s="116"/>
      <c r="T893" s="137" t="s">
        <v>108</v>
      </c>
      <c r="U893" s="141" t="s">
        <v>109</v>
      </c>
      <c r="V893" s="138" t="s">
        <v>110</v>
      </c>
      <c r="W893" s="108"/>
      <c r="X893" s="108"/>
      <c r="Y893" s="108"/>
      <c r="Z893" s="140"/>
      <c r="AA893" s="108"/>
      <c r="AB893" s="108"/>
    </row>
    <row r="894" spans="19:34" x14ac:dyDescent="0.25">
      <c r="S894" s="116"/>
      <c r="T894" s="137" t="s">
        <v>112</v>
      </c>
      <c r="U894" s="138" t="e">
        <f>+U902</f>
        <v>#DIV/0!</v>
      </c>
      <c r="V894" s="138" t="s">
        <v>113</v>
      </c>
      <c r="W894" s="108"/>
      <c r="X894" s="108"/>
      <c r="Y894" s="108"/>
      <c r="Z894" s="140" t="e">
        <f>U894-U890</f>
        <v>#DIV/0!</v>
      </c>
      <c r="AA894" s="108"/>
      <c r="AB894" s="108"/>
    </row>
    <row r="895" spans="19:34" x14ac:dyDescent="0.25">
      <c r="S895" s="116"/>
      <c r="T895" s="108"/>
      <c r="U895" s="108"/>
      <c r="V895" s="108"/>
      <c r="W895" s="108"/>
      <c r="X895" s="108"/>
      <c r="Y895" s="108"/>
      <c r="Z895" s="108"/>
      <c r="AA895" s="108"/>
      <c r="AB895" s="108"/>
    </row>
    <row r="896" spans="19:34" x14ac:dyDescent="0.25">
      <c r="S896" s="116"/>
      <c r="T896" s="108"/>
      <c r="U896" s="108"/>
      <c r="V896" s="108"/>
      <c r="W896" s="108"/>
      <c r="X896" s="108"/>
      <c r="Y896" s="108"/>
      <c r="Z896" s="108"/>
      <c r="AA896" s="108"/>
      <c r="AB896" s="108"/>
    </row>
    <row r="897" spans="19:34" x14ac:dyDescent="0.25">
      <c r="S897" s="116"/>
      <c r="T897" s="108"/>
      <c r="U897" s="108"/>
      <c r="V897" s="108"/>
      <c r="W897" s="108"/>
      <c r="X897" s="108"/>
      <c r="Y897" s="108"/>
      <c r="Z897" s="108"/>
      <c r="AA897" s="108"/>
      <c r="AB897" s="108"/>
    </row>
    <row r="898" spans="19:34" x14ac:dyDescent="0.25">
      <c r="S898" s="116"/>
      <c r="T898" s="108" t="s">
        <v>116</v>
      </c>
      <c r="U898" s="108">
        <v>0.98</v>
      </c>
      <c r="V898" s="108"/>
      <c r="W898" s="108"/>
      <c r="X898" s="108"/>
      <c r="Y898" s="108"/>
      <c r="Z898" s="108"/>
      <c r="AA898" s="108"/>
      <c r="AB898" s="108"/>
    </row>
    <row r="899" spans="19:34" x14ac:dyDescent="0.25">
      <c r="S899" s="116"/>
      <c r="T899" s="108" t="s">
        <v>106</v>
      </c>
      <c r="U899" s="143">
        <f>U892</f>
        <v>0</v>
      </c>
      <c r="V899" s="108" t="s">
        <v>117</v>
      </c>
      <c r="W899" s="108"/>
      <c r="X899" s="108"/>
      <c r="Y899" s="108"/>
      <c r="Z899" s="108"/>
      <c r="AA899" s="108"/>
      <c r="AB899" s="108"/>
    </row>
    <row r="900" spans="19:34" x14ac:dyDescent="0.25">
      <c r="S900" s="116"/>
      <c r="T900" s="108" t="s">
        <v>118</v>
      </c>
      <c r="U900" s="143">
        <f>C51+273.15</f>
        <v>273.14999999999998</v>
      </c>
      <c r="V900" s="108" t="s">
        <v>49</v>
      </c>
      <c r="W900" s="108"/>
      <c r="X900" s="108"/>
      <c r="Y900" s="108"/>
      <c r="Z900" s="108"/>
      <c r="AA900" s="108"/>
      <c r="AB900" s="108"/>
    </row>
    <row r="901" spans="19:34" x14ac:dyDescent="0.25">
      <c r="S901" s="116"/>
      <c r="T901" s="108"/>
      <c r="U901" s="108"/>
      <c r="V901" s="108"/>
      <c r="W901" s="108"/>
      <c r="X901" s="108"/>
      <c r="Y901" s="108"/>
      <c r="Z901" s="108"/>
      <c r="AA901" s="108"/>
      <c r="AB901" s="108"/>
    </row>
    <row r="902" spans="19:34" x14ac:dyDescent="0.25">
      <c r="S902" s="116"/>
      <c r="T902" s="108" t="s">
        <v>121</v>
      </c>
      <c r="U902" s="108" t="e">
        <f>(0.98*U891*U900)/U899</f>
        <v>#DIV/0!</v>
      </c>
      <c r="V902" s="108" t="s">
        <v>113</v>
      </c>
      <c r="W902" s="108"/>
      <c r="X902" s="108"/>
      <c r="Y902" s="108"/>
      <c r="Z902" s="108"/>
      <c r="AA902" s="108"/>
      <c r="AB902" s="108"/>
    </row>
    <row r="903" spans="19:34" x14ac:dyDescent="0.25">
      <c r="S903" s="116"/>
      <c r="T903" s="147"/>
      <c r="U903" s="116"/>
      <c r="V903" s="116"/>
      <c r="W903" s="116"/>
      <c r="X903" s="116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</row>
    <row r="904" spans="19:34" ht="15.75" thickBot="1" x14ac:dyDescent="0.3">
      <c r="S904" s="116"/>
      <c r="T904" s="147"/>
      <c r="U904" s="116"/>
      <c r="V904" s="116"/>
      <c r="W904" s="116"/>
      <c r="X904" s="116"/>
      <c r="Y904" s="147"/>
      <c r="Z904" s="147"/>
      <c r="AA904" s="147"/>
      <c r="AB904" s="147"/>
      <c r="AC904" s="147"/>
      <c r="AD904" s="147"/>
      <c r="AE904" s="147"/>
      <c r="AF904" s="147"/>
      <c r="AG904" s="147"/>
      <c r="AH904" s="147"/>
    </row>
    <row r="905" spans="19:34" ht="15.75" thickBot="1" x14ac:dyDescent="0.3">
      <c r="S905" s="116"/>
      <c r="V905" s="162" t="s">
        <v>60</v>
      </c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3"/>
      <c r="AG905" s="163"/>
      <c r="AH905" s="164"/>
    </row>
    <row r="906" spans="19:34" x14ac:dyDescent="0.25">
      <c r="S906" s="116"/>
      <c r="Y906" s="175" t="s">
        <v>63</v>
      </c>
      <c r="Z906" s="175"/>
      <c r="AA906" s="175"/>
      <c r="AB906" s="175"/>
      <c r="AC906" s="175"/>
      <c r="AD906" s="175"/>
      <c r="AE906" s="175"/>
      <c r="AF906" s="175"/>
      <c r="AG906" s="175"/>
      <c r="AH906" s="175"/>
    </row>
    <row r="907" spans="19:34" ht="17.25" x14ac:dyDescent="0.25">
      <c r="S907" s="116">
        <v>29</v>
      </c>
      <c r="T907" s="70" t="s">
        <v>76</v>
      </c>
      <c r="U907" s="130" t="s">
        <v>77</v>
      </c>
      <c r="V907" s="70" t="s">
        <v>78</v>
      </c>
      <c r="W907" s="70" t="s">
        <v>79</v>
      </c>
      <c r="X907" s="70" t="s">
        <v>80</v>
      </c>
      <c r="Y907" s="131" t="s">
        <v>30</v>
      </c>
      <c r="Z907" s="131" t="s">
        <v>32</v>
      </c>
      <c r="AA907" s="131" t="s">
        <v>81</v>
      </c>
      <c r="AB907" s="131" t="s">
        <v>25</v>
      </c>
      <c r="AC907" s="131" t="s">
        <v>26</v>
      </c>
      <c r="AD907" s="131" t="s">
        <v>27</v>
      </c>
      <c r="AE907" s="131" t="s">
        <v>28</v>
      </c>
      <c r="AF907" s="131" t="s">
        <v>82</v>
      </c>
      <c r="AG907" s="131" t="s">
        <v>29</v>
      </c>
      <c r="AH907" s="132" t="s">
        <v>31</v>
      </c>
    </row>
    <row r="908" spans="19:34" x14ac:dyDescent="0.25">
      <c r="S908" s="116"/>
      <c r="T908" s="70">
        <f>K52</f>
        <v>0.89818791666666686</v>
      </c>
      <c r="U908" s="69">
        <f>+S8*T908</f>
        <v>2.4074196427947055E-5</v>
      </c>
      <c r="V908" s="69">
        <f>$T$908*T908</f>
        <v>0.80674153364600731</v>
      </c>
      <c r="W908" s="69">
        <f>$R$8*R8</f>
        <v>4.2845172623208805E-2</v>
      </c>
      <c r="X908" s="69">
        <f>SQRT(W908)</f>
        <v>0.20699075492207086</v>
      </c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</row>
    <row r="909" spans="19:34" x14ac:dyDescent="0.25">
      <c r="S909" s="116"/>
      <c r="T909" s="70">
        <f>M52</f>
        <v>5.1536666666666668E-2</v>
      </c>
      <c r="U909" s="69">
        <f t="shared" ref="U909:U917" si="264">+S9*T909</f>
        <v>2.0892025945213959E-6</v>
      </c>
      <c r="V909" s="69">
        <f t="shared" ref="V909:V917" si="265">$T$908*T909</f>
        <v>4.6289611265277787E-2</v>
      </c>
      <c r="W909" s="69">
        <f t="shared" ref="W909:W917" si="266">$R$8*R9</f>
        <v>0.12918986849197683</v>
      </c>
      <c r="X909" s="69">
        <f t="shared" ref="X909:X917" si="267">SQRT(W909)</f>
        <v>0.35942992153127268</v>
      </c>
      <c r="Y909" s="70">
        <f t="shared" ref="Y909:Y917" si="268">(($T$908*T909)*SQRT($R$8*R9))*(1-B60)</f>
        <v>1.6681129810288371E-2</v>
      </c>
      <c r="Z909" s="70"/>
      <c r="AA909" s="70"/>
      <c r="AB909" s="70"/>
      <c r="AC909" s="70"/>
      <c r="AD909" s="70"/>
      <c r="AE909" s="70"/>
      <c r="AF909" s="70"/>
      <c r="AG909" s="70"/>
      <c r="AH909" s="70"/>
    </row>
    <row r="910" spans="19:34" x14ac:dyDescent="0.25">
      <c r="S910" s="116"/>
      <c r="T910" s="70">
        <f>+E52</f>
        <v>3.7545833333333329E-3</v>
      </c>
      <c r="U910" s="69">
        <f t="shared" si="264"/>
        <v>2.1144413067377958E-7</v>
      </c>
      <c r="V910" s="69">
        <f t="shared" si="265"/>
        <v>3.3723213821180557E-3</v>
      </c>
      <c r="W910" s="69">
        <f t="shared" si="266"/>
        <v>0.24193902239770376</v>
      </c>
      <c r="X910" s="69">
        <f t="shared" si="267"/>
        <v>0.49187297384355622</v>
      </c>
      <c r="Y910" s="70">
        <f t="shared" si="268"/>
        <v>1.6355311945209191E-3</v>
      </c>
      <c r="Z910" s="70">
        <f t="shared" ref="Z910:Z917" si="269">(($T$909*T910)*SQRT($R$9*R10))*(1-B61)</f>
        <v>1.6295632756299923E-4</v>
      </c>
      <c r="AA910" s="70"/>
      <c r="AB910" s="70"/>
      <c r="AC910" s="70"/>
      <c r="AD910" s="70"/>
      <c r="AE910" s="70"/>
      <c r="AF910" s="70"/>
      <c r="AG910" s="70"/>
      <c r="AH910" s="70"/>
    </row>
    <row r="911" spans="19:34" x14ac:dyDescent="0.25">
      <c r="S911" s="116"/>
      <c r="T911" s="70">
        <f>+G52</f>
        <v>5.6333333333333344E-4</v>
      </c>
      <c r="U911" s="69">
        <f t="shared" si="264"/>
        <v>4.0810041853877631E-8</v>
      </c>
      <c r="V911" s="69">
        <f t="shared" si="265"/>
        <v>5.0597919305555574E-4</v>
      </c>
      <c r="W911" s="69">
        <f t="shared" si="266"/>
        <v>0.39059496580954223</v>
      </c>
      <c r="X911" s="69">
        <f t="shared" si="267"/>
        <v>0.62497597218576506</v>
      </c>
      <c r="Y911" s="70">
        <f t="shared" si="268"/>
        <v>3.0812948223067187E-4</v>
      </c>
      <c r="Z911" s="70">
        <f t="shared" si="269"/>
        <v>3.0700514307773108E-5</v>
      </c>
      <c r="AA911" s="70">
        <f t="shared" ref="AA911:AA917" si="270">(($T$910*U911)*SQRT($R$10*S11))*(1-C62)</f>
        <v>1.4194076396794296E-12</v>
      </c>
      <c r="AB911" s="70"/>
      <c r="AC911" s="70"/>
      <c r="AD911" s="70"/>
      <c r="AE911" s="70"/>
      <c r="AF911" s="70"/>
      <c r="AG911" s="70"/>
      <c r="AH911" s="70"/>
    </row>
    <row r="912" spans="19:34" x14ac:dyDescent="0.25">
      <c r="S912" s="116"/>
      <c r="T912" s="70">
        <f>+F52</f>
        <v>3.4333333333333357E-4</v>
      </c>
      <c r="U912" s="69">
        <f t="shared" si="264"/>
        <v>2.4881586291378399E-8</v>
      </c>
      <c r="V912" s="69">
        <f t="shared" si="265"/>
        <v>3.0837785138888916E-4</v>
      </c>
      <c r="W912" s="69">
        <f t="shared" si="266"/>
        <v>0.36453710099529019</v>
      </c>
      <c r="X912" s="69">
        <f t="shared" si="267"/>
        <v>0.60376907919774281</v>
      </c>
      <c r="Y912" s="70">
        <f t="shared" si="268"/>
        <v>1.8371269752671994E-4</v>
      </c>
      <c r="Z912" s="70">
        <f t="shared" si="269"/>
        <v>1.8304234499431595E-5</v>
      </c>
      <c r="AA912" s="70">
        <f t="shared" si="270"/>
        <v>8.5154769610483429E-13</v>
      </c>
      <c r="AB912" s="70">
        <f t="shared" ref="AB912:AB917" si="271">(($T$911*V912)*SQRT($R$11*T912))*(1-D63)</f>
        <v>4.4071610169815235E-9</v>
      </c>
      <c r="AC912" s="70"/>
      <c r="AD912" s="70"/>
      <c r="AE912" s="70"/>
      <c r="AF912" s="70"/>
      <c r="AG912" s="70"/>
      <c r="AH912" s="70"/>
    </row>
    <row r="913" spans="19:34" x14ac:dyDescent="0.25">
      <c r="S913" s="116"/>
      <c r="T913" s="70">
        <f>+I52</f>
        <v>1.3958333333333341E-4</v>
      </c>
      <c r="U913" s="69">
        <f t="shared" si="264"/>
        <v>1.2584630875230099E-8</v>
      </c>
      <c r="V913" s="69">
        <f t="shared" si="265"/>
        <v>1.2537206336805565E-4</v>
      </c>
      <c r="W913" s="69">
        <f t="shared" si="266"/>
        <v>0.57891172563229198</v>
      </c>
      <c r="X913" s="69">
        <f t="shared" si="267"/>
        <v>0.76086248799128742</v>
      </c>
      <c r="Y913" s="70">
        <f t="shared" si="268"/>
        <v>9.5925089099149568E-5</v>
      </c>
      <c r="Z913" s="70">
        <f t="shared" si="269"/>
        <v>9.5575066333905798E-6</v>
      </c>
      <c r="AA913" s="70">
        <f t="shared" si="270"/>
        <v>4.8504627559447973E-13</v>
      </c>
      <c r="AB913" s="70">
        <f t="shared" si="271"/>
        <v>1.1335044501806697E-9</v>
      </c>
      <c r="AC913" s="70">
        <f>(($T$912*W913)*SQRT($R$12*U913))*(1-E64)</f>
        <v>2.9589930862689693E-8</v>
      </c>
      <c r="AD913" s="70"/>
      <c r="AE913" s="70"/>
      <c r="AF913" s="70"/>
      <c r="AG913" s="70"/>
      <c r="AH913" s="70"/>
    </row>
    <row r="914" spans="19:34" x14ac:dyDescent="0.25">
      <c r="S914" s="116"/>
      <c r="T914" s="70">
        <f>+H52</f>
        <v>1.4125000000000007E-4</v>
      </c>
      <c r="U914" s="69">
        <f t="shared" si="264"/>
        <v>1.2445814627117459E-8</v>
      </c>
      <c r="V914" s="69">
        <f t="shared" si="265"/>
        <v>1.2686904322916677E-4</v>
      </c>
      <c r="W914" s="69">
        <f t="shared" si="266"/>
        <v>0.54235185847350886</v>
      </c>
      <c r="X914" s="69">
        <f t="shared" si="267"/>
        <v>0.73644542124553181</v>
      </c>
      <c r="Y914" s="70">
        <f t="shared" si="268"/>
        <v>9.1283187086291107E-5</v>
      </c>
      <c r="Z914" s="70">
        <f t="shared" si="269"/>
        <v>9.0950102239935829E-6</v>
      </c>
      <c r="AA914" s="70">
        <f t="shared" si="270"/>
        <v>4.7052122728568764E-13</v>
      </c>
      <c r="AB914" s="70">
        <f t="shared" si="271"/>
        <v>1.1356641403667574E-9</v>
      </c>
      <c r="AC914" s="70">
        <f>(($T$912*W914)*SQRT($R$12*U914))*(1-E65)</f>
        <v>2.7567930184618805E-8</v>
      </c>
      <c r="AD914" s="70">
        <f>(($T$913*X914)*SQRT($R$13*V914))*(1-F65)</f>
        <v>1.9363446629679622E-6</v>
      </c>
      <c r="AE914" s="70"/>
      <c r="AF914" s="70"/>
      <c r="AG914" s="70"/>
      <c r="AH914" s="70"/>
    </row>
    <row r="915" spans="19:34" x14ac:dyDescent="0.25">
      <c r="S915" s="116"/>
      <c r="T915" s="70">
        <f>+D52</f>
        <v>2.1541666666666671E-4</v>
      </c>
      <c r="U915" s="69">
        <f t="shared" si="264"/>
        <v>2.3382545751850911E-8</v>
      </c>
      <c r="V915" s="69">
        <f t="shared" si="265"/>
        <v>1.934846470486112E-4</v>
      </c>
      <c r="W915" s="69">
        <f t="shared" si="266"/>
        <v>0.8050809492880614</v>
      </c>
      <c r="X915" s="69">
        <f t="shared" si="267"/>
        <v>0.89726303238685889</v>
      </c>
      <c r="Y915" s="70">
        <f t="shared" si="268"/>
        <v>1.6628042171940396E-4</v>
      </c>
      <c r="Z915" s="70">
        <f t="shared" si="269"/>
        <v>1.6567367812851746E-5</v>
      </c>
      <c r="AA915" s="70">
        <f t="shared" si="270"/>
        <v>9.9875426464356989E-13</v>
      </c>
      <c r="AB915" s="70">
        <f t="shared" si="271"/>
        <v>2.1960152117006329E-9</v>
      </c>
      <c r="AC915" s="70">
        <f>(($T$912*W915)*SQRT($R$12*U915))*(1-E66)</f>
        <v>5.6091468463763846E-8</v>
      </c>
      <c r="AD915" s="70">
        <f>(($T$913*X915)*SQRT($R$13*V915))*(1-F66)</f>
        <v>2.9297634629725841E-6</v>
      </c>
      <c r="AE915" s="70">
        <f>(($T$914*Y915)*SQRT($R$14*W915))*(1-G66)</f>
        <v>3.4112570081055883E-8</v>
      </c>
      <c r="AF915" s="70"/>
      <c r="AG915" s="70"/>
      <c r="AH915" s="70"/>
    </row>
    <row r="916" spans="19:34" x14ac:dyDescent="0.25">
      <c r="S916" s="116"/>
      <c r="T916" s="70">
        <f>+J52</f>
        <v>4.314458333333332E-2</v>
      </c>
      <c r="U916" s="69">
        <f t="shared" si="264"/>
        <v>1.0359122624798487E-6</v>
      </c>
      <c r="V916" s="69">
        <f t="shared" si="265"/>
        <v>3.8751943419618053E-2</v>
      </c>
      <c r="W916" s="69">
        <f t="shared" si="266"/>
        <v>1.8651528335962096E-2</v>
      </c>
      <c r="X916" s="69">
        <f t="shared" si="267"/>
        <v>0.13657059835836591</v>
      </c>
      <c r="Y916" s="70">
        <f t="shared" si="268"/>
        <v>5.1277832036453709E-3</v>
      </c>
      <c r="Z916" s="70">
        <f t="shared" si="269"/>
        <v>5.1090723442303188E-4</v>
      </c>
      <c r="AA916" s="70">
        <f t="shared" si="270"/>
        <v>1.9543299657807924E-11</v>
      </c>
      <c r="AB916" s="70">
        <f t="shared" si="271"/>
        <v>5.6981788882511355E-6</v>
      </c>
      <c r="AC916" s="70">
        <f>(($T$912*W916)*SQRT($R$12*U916))*(1-E67)</f>
        <v>7.7559400702151891E-9</v>
      </c>
      <c r="AD916" s="70">
        <f>(($T$913*X916)*SQRT($R$13*V916))*(1-F67)</f>
        <v>5.773724369711036E-6</v>
      </c>
      <c r="AE916" s="70">
        <f>(($T$914*Y916)*SQRT($R$14*W916))*(1-G67)</f>
        <v>1.4535520724259236E-7</v>
      </c>
      <c r="AF916" s="70">
        <f>(($T$915*Z916)*SQRT($R$15*X916))*(1-H67)</f>
        <v>7.2191617072952171E-8</v>
      </c>
      <c r="AG916" s="70"/>
      <c r="AH916" s="70"/>
    </row>
    <row r="917" spans="19:34" x14ac:dyDescent="0.25">
      <c r="S917" s="116"/>
      <c r="T917" s="70">
        <f>L52</f>
        <v>1.9745833333333334E-3</v>
      </c>
      <c r="U917" s="69">
        <f t="shared" si="264"/>
        <v>5.2629875374885134E-8</v>
      </c>
      <c r="V917" s="69">
        <f t="shared" si="265"/>
        <v>1.7735468904513892E-3</v>
      </c>
      <c r="W917" s="69">
        <f t="shared" si="266"/>
        <v>8.5334097849090448E-2</v>
      </c>
      <c r="X917" s="69">
        <f t="shared" si="267"/>
        <v>0.29212000590355064</v>
      </c>
      <c r="Y917" s="70">
        <f t="shared" si="268"/>
        <v>4.7047619237567724E-4</v>
      </c>
      <c r="Z917" s="70">
        <f t="shared" si="269"/>
        <v>4.687594634220405E-5</v>
      </c>
      <c r="AA917" s="70">
        <f t="shared" si="270"/>
        <v>9.5712720191412197E-13</v>
      </c>
      <c r="AB917" s="70">
        <f t="shared" si="271"/>
        <v>5.341807474773538E-8</v>
      </c>
      <c r="AC917" s="70">
        <f>(($T$912*W917)*SQRT($R$12*U917))*(1-E68)</f>
        <v>7.8493339756165488E-9</v>
      </c>
      <c r="AD917" s="70">
        <f>(($T$913*X917)*SQRT($R$13*V917))*(1-F68)</f>
        <v>2.4889472881315684E-6</v>
      </c>
      <c r="AE917" s="70">
        <f>(($T$914*Y917)*SQRT($R$14*W917))*(1-G68)</f>
        <v>2.4541637381067456E-8</v>
      </c>
      <c r="AF917" s="70">
        <f>(($T$915*Z917)*SQRT($R$15*X917))*(1-H68)</f>
        <v>9.448217396009978E-9</v>
      </c>
      <c r="AG917" s="70">
        <f>(($T$916*AA917)*SQRT($R$16*Y917))*(1-I68)</f>
        <v>2.3929658937850144E-16</v>
      </c>
      <c r="AH917" s="70"/>
    </row>
    <row r="918" spans="19:34" x14ac:dyDescent="0.25">
      <c r="S918" s="116"/>
      <c r="T918" s="130" t="s">
        <v>77</v>
      </c>
      <c r="U918" s="133">
        <f>SUM(U908:U917)</f>
        <v>2.7577489910396421E-5</v>
      </c>
      <c r="V918" s="108"/>
      <c r="W918" s="108"/>
      <c r="X918" s="108"/>
      <c r="Y918" s="70">
        <f>SUM(Y909:Y917)</f>
        <v>2.4760251278492577E-2</v>
      </c>
      <c r="Z918" s="70">
        <f t="shared" ref="Z918:AG918" si="272">SUM(Z909:Z917)</f>
        <v>8.0496414180567574E-4</v>
      </c>
      <c r="AA918" s="70">
        <f t="shared" si="272"/>
        <v>2.4725703963030048E-11</v>
      </c>
      <c r="AB918" s="70">
        <f t="shared" si="272"/>
        <v>5.7604693078181007E-6</v>
      </c>
      <c r="AC918" s="70">
        <f t="shared" si="272"/>
        <v>1.2885460355690409E-7</v>
      </c>
      <c r="AD918" s="70">
        <f t="shared" si="272"/>
        <v>1.312877978378315E-5</v>
      </c>
      <c r="AE918" s="70">
        <f t="shared" si="272"/>
        <v>2.0400941470471569E-7</v>
      </c>
      <c r="AF918" s="70">
        <f t="shared" si="272"/>
        <v>8.1639834468962149E-8</v>
      </c>
      <c r="AG918" s="70">
        <f t="shared" si="272"/>
        <v>2.3929658937850144E-16</v>
      </c>
      <c r="AH918" s="130">
        <f>SUM(Y918:AG918)</f>
        <v>2.558451919796853E-2</v>
      </c>
    </row>
    <row r="919" spans="19:34" x14ac:dyDescent="0.25">
      <c r="S919" s="116"/>
    </row>
    <row r="920" spans="19:34" x14ac:dyDescent="0.25">
      <c r="S920" s="116"/>
      <c r="T920" s="112" t="s">
        <v>99</v>
      </c>
      <c r="U920" s="108"/>
      <c r="V920" s="108"/>
      <c r="W920" s="108"/>
      <c r="X920" s="108"/>
      <c r="Y920" s="108"/>
      <c r="Z920" s="108"/>
      <c r="AA920" s="108"/>
      <c r="AB920" s="108"/>
    </row>
    <row r="921" spans="19:34" x14ac:dyDescent="0.25">
      <c r="S921" s="116"/>
      <c r="T921" s="137" t="s">
        <v>100</v>
      </c>
      <c r="U921" s="138">
        <f>+AH918</f>
        <v>2.558451919796853E-2</v>
      </c>
      <c r="V921" s="138" t="s">
        <v>101</v>
      </c>
      <c r="W921" s="139"/>
      <c r="X921" s="108"/>
      <c r="Y921" s="108"/>
      <c r="Z921" s="108"/>
      <c r="AA921" s="108"/>
      <c r="AB921" s="108"/>
    </row>
    <row r="922" spans="19:34" x14ac:dyDescent="0.25">
      <c r="S922" s="116"/>
      <c r="T922" s="137" t="s">
        <v>103</v>
      </c>
      <c r="U922" s="138">
        <f>+U918</f>
        <v>2.7577489910396421E-5</v>
      </c>
      <c r="V922" s="138" t="s">
        <v>101</v>
      </c>
      <c r="W922" s="108"/>
      <c r="X922" s="108"/>
      <c r="Y922" s="108"/>
      <c r="Z922" s="140" t="e">
        <f>(U926*U926)+(2*U922*U926)-(U922*U922)</f>
        <v>#DIV/0!</v>
      </c>
      <c r="AA922" s="108"/>
      <c r="AB922" s="108"/>
    </row>
    <row r="923" spans="19:34" x14ac:dyDescent="0.25">
      <c r="S923" s="116"/>
      <c r="T923" s="137" t="s">
        <v>104</v>
      </c>
      <c r="U923" s="138">
        <v>8.3145100000000003</v>
      </c>
      <c r="V923" s="138" t="s">
        <v>105</v>
      </c>
      <c r="W923" s="108"/>
      <c r="X923" s="108"/>
      <c r="Y923" s="108"/>
      <c r="Z923" s="140"/>
      <c r="AA923" s="108"/>
      <c r="AB923" s="108"/>
    </row>
    <row r="924" spans="19:34" x14ac:dyDescent="0.25">
      <c r="S924" s="116"/>
      <c r="T924" s="137" t="s">
        <v>106</v>
      </c>
      <c r="U924" s="141">
        <f>B52*98066.5</f>
        <v>0</v>
      </c>
      <c r="V924" s="142" t="s">
        <v>107</v>
      </c>
      <c r="W924" s="108"/>
      <c r="X924" s="108"/>
      <c r="Y924" s="108"/>
      <c r="Z924" s="140" t="e">
        <f>U921/Z922</f>
        <v>#DIV/0!</v>
      </c>
      <c r="AA924" s="108"/>
      <c r="AB924" s="108"/>
    </row>
    <row r="925" spans="19:34" x14ac:dyDescent="0.25">
      <c r="S925" s="116"/>
      <c r="T925" s="137" t="s">
        <v>108</v>
      </c>
      <c r="U925" s="141" t="s">
        <v>109</v>
      </c>
      <c r="V925" s="138" t="s">
        <v>110</v>
      </c>
      <c r="W925" s="108"/>
      <c r="X925" s="108"/>
      <c r="Y925" s="108"/>
      <c r="Z925" s="140"/>
      <c r="AA925" s="108"/>
      <c r="AB925" s="108"/>
    </row>
    <row r="926" spans="19:34" x14ac:dyDescent="0.25">
      <c r="S926" s="116"/>
      <c r="T926" s="137" t="s">
        <v>112</v>
      </c>
      <c r="U926" s="138" t="e">
        <f>+U934</f>
        <v>#DIV/0!</v>
      </c>
      <c r="V926" s="138" t="s">
        <v>113</v>
      </c>
      <c r="W926" s="108"/>
      <c r="X926" s="108"/>
      <c r="Y926" s="108"/>
      <c r="Z926" s="140" t="e">
        <f>U926-U922</f>
        <v>#DIV/0!</v>
      </c>
      <c r="AA926" s="108"/>
      <c r="AB926" s="108"/>
    </row>
    <row r="927" spans="19:34" x14ac:dyDescent="0.25">
      <c r="S927" s="116"/>
      <c r="T927" s="108"/>
      <c r="U927" s="108"/>
      <c r="V927" s="108"/>
      <c r="W927" s="108"/>
      <c r="X927" s="108"/>
      <c r="Y927" s="108"/>
      <c r="Z927" s="108"/>
      <c r="AA927" s="108"/>
      <c r="AB927" s="108"/>
    </row>
    <row r="928" spans="19:34" x14ac:dyDescent="0.25">
      <c r="S928" s="116"/>
      <c r="T928" s="108"/>
      <c r="U928" s="108"/>
      <c r="V928" s="108"/>
      <c r="W928" s="108"/>
      <c r="X928" s="108"/>
      <c r="Y928" s="108"/>
      <c r="Z928" s="108"/>
      <c r="AA928" s="108"/>
      <c r="AB928" s="108"/>
    </row>
    <row r="929" spans="19:34" x14ac:dyDescent="0.25">
      <c r="S929" s="116"/>
      <c r="T929" s="108"/>
      <c r="U929" s="108"/>
      <c r="V929" s="108"/>
      <c r="W929" s="108"/>
      <c r="X929" s="108"/>
      <c r="Y929" s="108"/>
      <c r="Z929" s="108"/>
      <c r="AA929" s="108"/>
      <c r="AB929" s="108"/>
    </row>
    <row r="930" spans="19:34" x14ac:dyDescent="0.25">
      <c r="S930" s="116"/>
      <c r="T930" s="108" t="s">
        <v>116</v>
      </c>
      <c r="U930" s="108">
        <v>0.98</v>
      </c>
      <c r="V930" s="108"/>
      <c r="W930" s="108"/>
      <c r="X930" s="108"/>
      <c r="Y930" s="108"/>
      <c r="Z930" s="108"/>
      <c r="AA930" s="108"/>
      <c r="AB930" s="108"/>
    </row>
    <row r="931" spans="19:34" x14ac:dyDescent="0.25">
      <c r="S931" s="116"/>
      <c r="T931" s="108" t="s">
        <v>106</v>
      </c>
      <c r="U931" s="143">
        <f>U924</f>
        <v>0</v>
      </c>
      <c r="V931" s="108" t="s">
        <v>117</v>
      </c>
      <c r="W931" s="108"/>
      <c r="X931" s="108"/>
      <c r="Y931" s="108"/>
      <c r="Z931" s="108"/>
      <c r="AA931" s="108"/>
      <c r="AB931" s="108"/>
    </row>
    <row r="932" spans="19:34" x14ac:dyDescent="0.25">
      <c r="S932" s="116"/>
      <c r="T932" s="108" t="s">
        <v>118</v>
      </c>
      <c r="U932" s="143">
        <f>C52+273.15</f>
        <v>273.14999999999998</v>
      </c>
      <c r="V932" s="108" t="s">
        <v>49</v>
      </c>
      <c r="W932" s="108"/>
      <c r="X932" s="108"/>
      <c r="Y932" s="108"/>
      <c r="Z932" s="108"/>
      <c r="AA932" s="108"/>
      <c r="AB932" s="108"/>
    </row>
    <row r="933" spans="19:34" x14ac:dyDescent="0.25">
      <c r="S933" s="116"/>
      <c r="T933" s="108"/>
      <c r="U933" s="108"/>
      <c r="V933" s="108"/>
      <c r="W933" s="108"/>
      <c r="X933" s="108"/>
      <c r="Y933" s="108"/>
      <c r="Z933" s="108"/>
      <c r="AA933" s="108"/>
      <c r="AB933" s="108"/>
    </row>
    <row r="934" spans="19:34" x14ac:dyDescent="0.25">
      <c r="S934" s="116"/>
      <c r="T934" s="108" t="s">
        <v>121</v>
      </c>
      <c r="U934" s="108" t="e">
        <f>(0.98*U923*U932)/U931</f>
        <v>#DIV/0!</v>
      </c>
      <c r="V934" s="108" t="s">
        <v>113</v>
      </c>
      <c r="W934" s="108"/>
      <c r="X934" s="108"/>
      <c r="Y934" s="108"/>
      <c r="Z934" s="108"/>
      <c r="AA934" s="108"/>
      <c r="AB934" s="108"/>
    </row>
    <row r="935" spans="19:34" x14ac:dyDescent="0.25"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</row>
    <row r="936" spans="19:34" ht="15.75" thickBot="1" x14ac:dyDescent="0.3">
      <c r="S936" s="116"/>
      <c r="T936" s="116"/>
      <c r="U936" s="116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  <c r="AG936" s="179"/>
      <c r="AH936" s="179"/>
    </row>
    <row r="937" spans="19:34" ht="15.75" thickBot="1" x14ac:dyDescent="0.3">
      <c r="S937" s="116"/>
      <c r="V937" s="162" t="s">
        <v>60</v>
      </c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3"/>
      <c r="AG937" s="163"/>
      <c r="AH937" s="164"/>
    </row>
    <row r="938" spans="19:34" x14ac:dyDescent="0.25">
      <c r="S938" s="116"/>
      <c r="Y938" s="175" t="s">
        <v>63</v>
      </c>
      <c r="Z938" s="175"/>
      <c r="AA938" s="175"/>
      <c r="AB938" s="175"/>
      <c r="AC938" s="175"/>
      <c r="AD938" s="175"/>
      <c r="AE938" s="175"/>
      <c r="AF938" s="175"/>
      <c r="AG938" s="175"/>
      <c r="AH938" s="175"/>
    </row>
    <row r="939" spans="19:34" ht="17.25" x14ac:dyDescent="0.25">
      <c r="S939" s="116">
        <v>30</v>
      </c>
      <c r="T939" s="70" t="s">
        <v>76</v>
      </c>
      <c r="U939" s="130" t="s">
        <v>77</v>
      </c>
      <c r="V939" s="70" t="s">
        <v>78</v>
      </c>
      <c r="W939" s="70" t="s">
        <v>79</v>
      </c>
      <c r="X939" s="70" t="s">
        <v>80</v>
      </c>
      <c r="Y939" s="131" t="s">
        <v>30</v>
      </c>
      <c r="Z939" s="131" t="s">
        <v>32</v>
      </c>
      <c r="AA939" s="131" t="s">
        <v>81</v>
      </c>
      <c r="AB939" s="131" t="s">
        <v>25</v>
      </c>
      <c r="AC939" s="131" t="s">
        <v>26</v>
      </c>
      <c r="AD939" s="131" t="s">
        <v>27</v>
      </c>
      <c r="AE939" s="131" t="s">
        <v>28</v>
      </c>
      <c r="AF939" s="131" t="s">
        <v>82</v>
      </c>
      <c r="AG939" s="131" t="s">
        <v>29</v>
      </c>
      <c r="AH939" s="132" t="s">
        <v>31</v>
      </c>
    </row>
    <row r="940" spans="19:34" x14ac:dyDescent="0.25">
      <c r="S940" s="116"/>
      <c r="T940" s="70">
        <f>K53</f>
        <v>0.89798624999999999</v>
      </c>
      <c r="U940" s="69">
        <f>+S8*T940</f>
        <v>2.4068791141529567E-5</v>
      </c>
      <c r="V940" s="69">
        <f>$T$940*T940</f>
        <v>0.80637930518906242</v>
      </c>
      <c r="W940" s="69">
        <f>$R$8*R8</f>
        <v>4.2845172623208805E-2</v>
      </c>
      <c r="X940" s="69">
        <f>SQRT(W940)</f>
        <v>0.20699075492207086</v>
      </c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</row>
    <row r="941" spans="19:34" x14ac:dyDescent="0.25">
      <c r="S941" s="116"/>
      <c r="T941" s="70">
        <f>M53</f>
        <v>5.1674999999999999E-2</v>
      </c>
      <c r="U941" s="69">
        <f t="shared" ref="U941:U949" si="273">+S9*T941</f>
        <v>2.094810375885644E-6</v>
      </c>
      <c r="V941" s="69">
        <f t="shared" ref="V941:V949" si="274">$T$940*T941</f>
        <v>4.6403439468749995E-2</v>
      </c>
      <c r="W941" s="69">
        <f t="shared" ref="W941:W949" si="275">$R$8*R9</f>
        <v>0.12918986849197683</v>
      </c>
      <c r="X941" s="69">
        <f t="shared" ref="X941:X949" si="276">SQRT(W941)</f>
        <v>0.35942992153127268</v>
      </c>
      <c r="Y941" s="70">
        <f t="shared" ref="Y941:Y949" si="277">(($T$940*T941)*SQRT($R$8*R9))*(1-B60)</f>
        <v>1.6722149447012263E-2</v>
      </c>
      <c r="Z941" s="70"/>
      <c r="AA941" s="70"/>
      <c r="AB941" s="70"/>
      <c r="AC941" s="70"/>
      <c r="AD941" s="70"/>
      <c r="AE941" s="70"/>
      <c r="AF941" s="70"/>
      <c r="AG941" s="70"/>
      <c r="AH941" s="70"/>
    </row>
    <row r="942" spans="19:34" x14ac:dyDescent="0.25">
      <c r="S942" s="116"/>
      <c r="T942" s="70">
        <f>+E53</f>
        <v>3.2741666666666665E-3</v>
      </c>
      <c r="U942" s="69">
        <f t="shared" si="273"/>
        <v>1.8438885571352348E-7</v>
      </c>
      <c r="V942" s="69">
        <f t="shared" si="274"/>
        <v>2.9401566468749999E-3</v>
      </c>
      <c r="W942" s="69">
        <f t="shared" si="275"/>
        <v>0.24193902239770376</v>
      </c>
      <c r="X942" s="69">
        <f t="shared" si="276"/>
        <v>0.49187297384355622</v>
      </c>
      <c r="Y942" s="70">
        <f t="shared" si="277"/>
        <v>1.4259370231558045E-3</v>
      </c>
      <c r="Z942" s="70">
        <f t="shared" ref="Z942:Z949" si="278">(($T$941*T942)*SQRT($R$9*R10))*(1-B60)</f>
        <v>1.4488559501178266E-4</v>
      </c>
      <c r="AA942" s="70"/>
      <c r="AB942" s="70"/>
      <c r="AC942" s="70"/>
      <c r="AD942" s="70"/>
      <c r="AE942" s="70"/>
      <c r="AF942" s="70"/>
      <c r="AG942" s="70"/>
      <c r="AH942" s="70"/>
    </row>
    <row r="943" spans="19:34" x14ac:dyDescent="0.25">
      <c r="S943" s="116"/>
      <c r="T943" s="70">
        <f>+G53</f>
        <v>4.9458333333333331E-4</v>
      </c>
      <c r="U943" s="69">
        <f t="shared" si="273"/>
        <v>3.5829526390941372E-8</v>
      </c>
      <c r="V943" s="69">
        <f t="shared" si="274"/>
        <v>4.4412903281249998E-4</v>
      </c>
      <c r="W943" s="69">
        <f t="shared" si="275"/>
        <v>0.39059496580954223</v>
      </c>
      <c r="X943" s="69">
        <f t="shared" si="276"/>
        <v>0.62497597218576506</v>
      </c>
      <c r="Y943" s="70">
        <f t="shared" si="277"/>
        <v>2.7046418272203308E-4</v>
      </c>
      <c r="Z943" s="70">
        <f t="shared" si="278"/>
        <v>2.7347868179475502E-5</v>
      </c>
      <c r="AA943" s="70">
        <f t="shared" ref="AA943:AA949" si="279">(($T$942*U943)*SQRT($R$10*S11))*(1-C62)</f>
        <v>1.086726357389073E-12</v>
      </c>
      <c r="AB943" s="70"/>
      <c r="AC943" s="70"/>
      <c r="AD943" s="70"/>
      <c r="AE943" s="70"/>
      <c r="AF943" s="70"/>
      <c r="AG943" s="70"/>
      <c r="AH943" s="70"/>
    </row>
    <row r="944" spans="19:34" x14ac:dyDescent="0.25">
      <c r="S944" s="116"/>
      <c r="T944" s="70">
        <f>+F53</f>
        <v>3.0833333333333347E-4</v>
      </c>
      <c r="U944" s="69">
        <f t="shared" si="273"/>
        <v>2.234511390245147E-8</v>
      </c>
      <c r="V944" s="69">
        <f t="shared" si="274"/>
        <v>2.7687909375000012E-4</v>
      </c>
      <c r="W944" s="69">
        <f t="shared" si="275"/>
        <v>0.36453710099529019</v>
      </c>
      <c r="X944" s="69">
        <f t="shared" si="276"/>
        <v>0.60376907919774281</v>
      </c>
      <c r="Y944" s="70">
        <f t="shared" si="277"/>
        <v>1.6494766071062524E-4</v>
      </c>
      <c r="Z944" s="70">
        <f t="shared" si="278"/>
        <v>1.6276925884231868E-5</v>
      </c>
      <c r="AA944" s="70">
        <f t="shared" si="279"/>
        <v>6.6688741390430067E-13</v>
      </c>
      <c r="AB944" s="70">
        <f t="shared" ref="AB944:AB949" si="280">(($T$943*V944)*SQRT($R$11*T944))*(1-D63)</f>
        <v>3.292245296416952E-9</v>
      </c>
      <c r="AC944" s="70"/>
      <c r="AD944" s="70"/>
      <c r="AE944" s="70"/>
      <c r="AF944" s="70"/>
      <c r="AG944" s="70"/>
      <c r="AH944" s="70"/>
    </row>
    <row r="945" spans="19:34" x14ac:dyDescent="0.25">
      <c r="S945" s="116"/>
      <c r="T945" s="70">
        <f>+I53</f>
        <v>1.2500000000000006E-4</v>
      </c>
      <c r="U945" s="69">
        <f t="shared" si="273"/>
        <v>1.1269818694235909E-8</v>
      </c>
      <c r="V945" s="69">
        <f t="shared" si="274"/>
        <v>1.1224828125000006E-4</v>
      </c>
      <c r="W945" s="69">
        <f t="shared" si="275"/>
        <v>0.57891172563229198</v>
      </c>
      <c r="X945" s="69">
        <f t="shared" si="276"/>
        <v>0.76086248799128742</v>
      </c>
      <c r="Y945" s="70">
        <f t="shared" si="277"/>
        <v>8.5883777381270702E-5</v>
      </c>
      <c r="Z945" s="70">
        <f t="shared" si="278"/>
        <v>8.4206395815936081E-6</v>
      </c>
      <c r="AA945" s="70">
        <f t="shared" si="279"/>
        <v>3.7879013215569903E-13</v>
      </c>
      <c r="AB945" s="70">
        <f t="shared" si="280"/>
        <v>8.4316856533806676E-10</v>
      </c>
      <c r="AC945" s="70">
        <f>(($T$944*W945)*SQRT($R$12*U945))*(1-E64)</f>
        <v>2.5147028981124942E-8</v>
      </c>
      <c r="AD945" s="70"/>
      <c r="AE945" s="70"/>
      <c r="AF945" s="70"/>
      <c r="AG945" s="70"/>
      <c r="AH945" s="70"/>
    </row>
    <row r="946" spans="19:34" x14ac:dyDescent="0.25">
      <c r="S946" s="116"/>
      <c r="T946" s="70">
        <f>+H53</f>
        <v>1.2750000000000004E-4</v>
      </c>
      <c r="U946" s="69">
        <f t="shared" si="273"/>
        <v>1.123427515014142E-8</v>
      </c>
      <c r="V946" s="69">
        <f t="shared" si="274"/>
        <v>1.1449324687500003E-4</v>
      </c>
      <c r="W946" s="69">
        <f t="shared" si="275"/>
        <v>0.54235185847350886</v>
      </c>
      <c r="X946" s="69">
        <f t="shared" si="276"/>
        <v>0.73644542124553181</v>
      </c>
      <c r="Y946" s="70">
        <f t="shared" si="277"/>
        <v>8.2378712793861617E-5</v>
      </c>
      <c r="Z946" s="70">
        <f t="shared" si="278"/>
        <v>8.4726600345855732E-6</v>
      </c>
      <c r="AA946" s="70">
        <f t="shared" si="279"/>
        <v>3.7037356702586238E-13</v>
      </c>
      <c r="AB946" s="70">
        <f t="shared" si="280"/>
        <v>8.5488758691131592E-10</v>
      </c>
      <c r="AC946" s="70">
        <f>(($T$944*W946)*SQRT($R$12*U946))*(1-E65)</f>
        <v>2.3521744727685887E-8</v>
      </c>
      <c r="AD946" s="70">
        <f>(($T$945*X946)*SQRT($R$13*V946))*(1-F65)</f>
        <v>1.6472943693286152E-6</v>
      </c>
      <c r="AE946" s="70"/>
      <c r="AF946" s="70"/>
      <c r="AG946" s="70"/>
      <c r="AH946" s="70"/>
    </row>
    <row r="947" spans="19:34" x14ac:dyDescent="0.25">
      <c r="S947" s="116"/>
      <c r="T947" s="70">
        <f>+D53</f>
        <v>2.170833333333334E-4</v>
      </c>
      <c r="U947" s="69">
        <f t="shared" si="273"/>
        <v>2.3563455196739509E-8</v>
      </c>
      <c r="V947" s="69">
        <f t="shared" si="274"/>
        <v>1.9493784843750006E-4</v>
      </c>
      <c r="W947" s="69">
        <f t="shared" si="275"/>
        <v>0.8050809492880614</v>
      </c>
      <c r="X947" s="69">
        <f t="shared" si="276"/>
        <v>0.89726303238685889</v>
      </c>
      <c r="Y947" s="70">
        <f t="shared" si="277"/>
        <v>1.6752930086032594E-4</v>
      </c>
      <c r="Z947" s="70">
        <f t="shared" si="278"/>
        <v>1.7075938626424975E-5</v>
      </c>
      <c r="AA947" s="70">
        <f t="shared" si="279"/>
        <v>8.7769750082534829E-13</v>
      </c>
      <c r="AB947" s="70">
        <f t="shared" si="280"/>
        <v>1.949991060392012E-9</v>
      </c>
      <c r="AC947" s="70">
        <f>(($T$944*W947)*SQRT($R$12*U947))*(1-E66)</f>
        <v>5.0567898783707229E-8</v>
      </c>
      <c r="AD947" s="70">
        <f>(($T$945*X947)*SQRT($R$13*V947))*(1-F66)</f>
        <v>2.6335031108139478E-6</v>
      </c>
      <c r="AE947" s="70">
        <f>(($T$946*Y947)*SQRT($R$14*W947))*(1-G66)</f>
        <v>3.1023145375282549E-8</v>
      </c>
      <c r="AF947" s="70"/>
      <c r="AG947" s="70"/>
      <c r="AH947" s="70"/>
    </row>
    <row r="948" spans="19:34" x14ac:dyDescent="0.25">
      <c r="S948" s="116"/>
      <c r="T948" s="70">
        <f>+J53</f>
        <v>4.4172083333333327E-2</v>
      </c>
      <c r="U948" s="69">
        <f t="shared" si="273"/>
        <v>1.0605827950812309E-6</v>
      </c>
      <c r="V948" s="69">
        <f t="shared" si="274"/>
        <v>3.9665923467187496E-2</v>
      </c>
      <c r="W948" s="69">
        <f t="shared" si="275"/>
        <v>1.8651528335962096E-2</v>
      </c>
      <c r="X948" s="69">
        <f t="shared" si="276"/>
        <v>0.13657059835836591</v>
      </c>
      <c r="Y948" s="70">
        <f t="shared" si="277"/>
        <v>5.2487240164878299E-3</v>
      </c>
      <c r="Z948" s="70">
        <f t="shared" si="278"/>
        <v>5.1847007229278931E-4</v>
      </c>
      <c r="AA948" s="70">
        <f t="shared" si="279"/>
        <v>1.7448517347164758E-11</v>
      </c>
      <c r="AB948" s="70">
        <f t="shared" si="280"/>
        <v>5.1813745874711514E-6</v>
      </c>
      <c r="AC948" s="70">
        <f>(($T$944*W948)*SQRT($R$12*U948))*(1-E67)</f>
        <v>7.0477380603628671E-9</v>
      </c>
      <c r="AD948" s="70">
        <f>(($T$945*X948)*SQRT($R$13*V948))*(1-F67)</f>
        <v>5.2311182350639636E-6</v>
      </c>
      <c r="AE948" s="70">
        <f>(($T$946*Y948)*SQRT($R$14*W948))*(1-G67)</f>
        <v>1.3430012137889374E-7</v>
      </c>
      <c r="AF948" s="70">
        <f>(($T$947*Z948)*SQRT($R$15*X948))*(1-H67)</f>
        <v>7.382706281596537E-8</v>
      </c>
      <c r="AG948" s="70"/>
      <c r="AH948" s="70"/>
    </row>
    <row r="949" spans="19:34" x14ac:dyDescent="0.25">
      <c r="S949" s="116"/>
      <c r="T949" s="70">
        <f>L53</f>
        <v>1.6224999999999998E-3</v>
      </c>
      <c r="U949" s="69">
        <f t="shared" si="273"/>
        <v>4.3245565458915952E-8</v>
      </c>
      <c r="V949" s="69">
        <f t="shared" si="274"/>
        <v>1.4569826906249998E-3</v>
      </c>
      <c r="W949" s="69">
        <f t="shared" si="275"/>
        <v>8.5334097849090448E-2</v>
      </c>
      <c r="X949" s="69">
        <f t="shared" si="276"/>
        <v>0.29212000590355064</v>
      </c>
      <c r="Y949" s="70">
        <f t="shared" si="277"/>
        <v>3.8649988468478409E-4</v>
      </c>
      <c r="Z949" s="70">
        <f t="shared" si="278"/>
        <v>4.1206784556579647E-5</v>
      </c>
      <c r="AA949" s="70">
        <f t="shared" si="279"/>
        <v>6.8583229631685103E-13</v>
      </c>
      <c r="AB949" s="70">
        <f t="shared" si="280"/>
        <v>3.4924371166271156E-8</v>
      </c>
      <c r="AC949" s="70">
        <f>(($T$944*W949)*SQRT($R$12*U949))*(1-E68)</f>
        <v>6.3898687137246998E-9</v>
      </c>
      <c r="AD949" s="70">
        <f>(($T$945*X949)*SQRT($R$13*V949))*(1-F68)</f>
        <v>2.0202169252178167E-6</v>
      </c>
      <c r="AE949" s="70">
        <f>(($T$946*Y949)*SQRT($R$14*W949))*(1-G68)</f>
        <v>1.8198558127627749E-8</v>
      </c>
      <c r="AF949" s="70">
        <f>(($T$947*Z949)*SQRT($R$15*X949))*(1-H68)</f>
        <v>8.3698126387567614E-9</v>
      </c>
      <c r="AG949" s="70">
        <f>(($T$948*AA949)*SQRT($R$16*Y949))*(1-I68)</f>
        <v>1.5911541074629177E-16</v>
      </c>
      <c r="AH949" s="70"/>
    </row>
    <row r="950" spans="19:34" x14ac:dyDescent="0.25">
      <c r="S950" s="116"/>
      <c r="T950" s="130" t="s">
        <v>77</v>
      </c>
      <c r="U950" s="133">
        <f>SUM(U940:U949)</f>
        <v>2.7556060923003392E-5</v>
      </c>
      <c r="V950" s="108"/>
      <c r="W950" s="108"/>
      <c r="X950" s="108"/>
      <c r="Y950" s="70">
        <f>SUM(Y941:Y949)</f>
        <v>2.4554514005808801E-2</v>
      </c>
      <c r="Z950" s="70">
        <f t="shared" ref="Z950:AG950" si="281">SUM(Z941:Z949)</f>
        <v>7.8215648416746317E-4</v>
      </c>
      <c r="AA950" s="70">
        <f t="shared" si="281"/>
        <v>2.151482461478189E-11</v>
      </c>
      <c r="AB950" s="70">
        <f t="shared" si="281"/>
        <v>5.2232392511464804E-6</v>
      </c>
      <c r="AC950" s="70">
        <f t="shared" si="281"/>
        <v>1.1267427926660562E-7</v>
      </c>
      <c r="AD950" s="70">
        <f t="shared" si="281"/>
        <v>1.1532132640424344E-5</v>
      </c>
      <c r="AE950" s="70">
        <f t="shared" si="281"/>
        <v>1.8352182488180404E-7</v>
      </c>
      <c r="AF950" s="70">
        <f t="shared" si="281"/>
        <v>8.2196875454722135E-8</v>
      </c>
      <c r="AG950" s="70">
        <f t="shared" si="281"/>
        <v>1.5911541074629177E-16</v>
      </c>
      <c r="AH950" s="130">
        <f>SUM(Y950:AG950)</f>
        <v>2.5353804276362423E-2</v>
      </c>
    </row>
    <row r="951" spans="19:34" x14ac:dyDescent="0.25">
      <c r="S951" s="116"/>
    </row>
    <row r="952" spans="19:34" x14ac:dyDescent="0.25">
      <c r="S952" s="116"/>
      <c r="T952" s="112" t="s">
        <v>99</v>
      </c>
      <c r="U952" s="108"/>
      <c r="V952" s="108"/>
      <c r="W952" s="108"/>
      <c r="X952" s="108"/>
      <c r="Y952" s="108"/>
      <c r="Z952" s="108"/>
      <c r="AA952" s="108"/>
      <c r="AB952" s="108"/>
    </row>
    <row r="953" spans="19:34" x14ac:dyDescent="0.25">
      <c r="S953" s="116"/>
      <c r="T953" s="137" t="s">
        <v>100</v>
      </c>
      <c r="U953" s="138">
        <f>+AH950</f>
        <v>2.5353804276362423E-2</v>
      </c>
      <c r="V953" s="138" t="s">
        <v>101</v>
      </c>
      <c r="W953" s="139"/>
      <c r="X953" s="108"/>
      <c r="Y953" s="108"/>
      <c r="Z953" s="108"/>
      <c r="AA953" s="108"/>
      <c r="AB953" s="108"/>
    </row>
    <row r="954" spans="19:34" x14ac:dyDescent="0.25">
      <c r="S954" s="116"/>
      <c r="T954" s="137" t="s">
        <v>103</v>
      </c>
      <c r="U954" s="138">
        <f>+U950</f>
        <v>2.7556060923003392E-5</v>
      </c>
      <c r="V954" s="138" t="s">
        <v>101</v>
      </c>
      <c r="W954" s="108"/>
      <c r="X954" s="108"/>
      <c r="Y954" s="108"/>
      <c r="Z954" s="140" t="e">
        <f>(U958*U958)+(2*U954*U958)-(U954*U954)</f>
        <v>#DIV/0!</v>
      </c>
      <c r="AA954" s="108"/>
      <c r="AB954" s="108"/>
    </row>
    <row r="955" spans="19:34" x14ac:dyDescent="0.25">
      <c r="S955" s="116"/>
      <c r="T955" s="137" t="s">
        <v>104</v>
      </c>
      <c r="U955" s="138">
        <v>8.3145100000000003</v>
      </c>
      <c r="V955" s="138" t="s">
        <v>105</v>
      </c>
      <c r="W955" s="108"/>
      <c r="X955" s="108"/>
      <c r="Y955" s="108"/>
      <c r="Z955" s="140"/>
      <c r="AA955" s="108"/>
      <c r="AB955" s="108"/>
    </row>
    <row r="956" spans="19:34" x14ac:dyDescent="0.25">
      <c r="S956" s="116"/>
      <c r="T956" s="137" t="s">
        <v>106</v>
      </c>
      <c r="U956" s="141">
        <f>B53*98066.5</f>
        <v>0</v>
      </c>
      <c r="V956" s="142" t="s">
        <v>107</v>
      </c>
      <c r="W956" s="108"/>
      <c r="X956" s="108"/>
      <c r="Y956" s="108"/>
      <c r="Z956" s="140" t="e">
        <f>U953/Z954</f>
        <v>#DIV/0!</v>
      </c>
      <c r="AA956" s="108"/>
      <c r="AB956" s="108"/>
    </row>
    <row r="957" spans="19:34" x14ac:dyDescent="0.25">
      <c r="S957" s="116"/>
      <c r="T957" s="137" t="s">
        <v>108</v>
      </c>
      <c r="U957" s="141" t="s">
        <v>109</v>
      </c>
      <c r="V957" s="138" t="s">
        <v>110</v>
      </c>
      <c r="W957" s="108"/>
      <c r="X957" s="108"/>
      <c r="Y957" s="108"/>
      <c r="Z957" s="140"/>
      <c r="AA957" s="108"/>
      <c r="AB957" s="108"/>
    </row>
    <row r="958" spans="19:34" x14ac:dyDescent="0.25">
      <c r="S958" s="116"/>
      <c r="T958" s="137" t="s">
        <v>112</v>
      </c>
      <c r="U958" s="138" t="e">
        <f>+U966</f>
        <v>#DIV/0!</v>
      </c>
      <c r="V958" s="138" t="s">
        <v>113</v>
      </c>
      <c r="W958" s="108"/>
      <c r="X958" s="108"/>
      <c r="Y958" s="108"/>
      <c r="Z958" s="140" t="e">
        <f>U958-U954</f>
        <v>#DIV/0!</v>
      </c>
      <c r="AA958" s="108"/>
      <c r="AB958" s="108"/>
    </row>
    <row r="959" spans="19:34" x14ac:dyDescent="0.25">
      <c r="S959" s="116"/>
      <c r="T959" s="108"/>
      <c r="U959" s="108"/>
      <c r="V959" s="108"/>
      <c r="W959" s="108"/>
      <c r="X959" s="108"/>
      <c r="Y959" s="108"/>
      <c r="Z959" s="108"/>
      <c r="AA959" s="108"/>
      <c r="AB959" s="108"/>
    </row>
    <row r="960" spans="19:34" x14ac:dyDescent="0.25">
      <c r="S960" s="116"/>
      <c r="T960" s="108"/>
      <c r="U960" s="108"/>
      <c r="V960" s="108"/>
      <c r="W960" s="108"/>
      <c r="X960" s="108"/>
      <c r="Y960" s="108"/>
      <c r="Z960" s="108"/>
      <c r="AA960" s="108"/>
      <c r="AB960" s="108"/>
    </row>
    <row r="961" spans="19:34" x14ac:dyDescent="0.25">
      <c r="S961" s="116"/>
      <c r="T961" s="108"/>
      <c r="U961" s="108"/>
      <c r="V961" s="108"/>
      <c r="W961" s="108"/>
      <c r="X961" s="108"/>
      <c r="Y961" s="108"/>
      <c r="Z961" s="108"/>
      <c r="AA961" s="108"/>
      <c r="AB961" s="108"/>
    </row>
    <row r="962" spans="19:34" x14ac:dyDescent="0.25">
      <c r="S962" s="116"/>
      <c r="T962" s="108" t="s">
        <v>116</v>
      </c>
      <c r="U962" s="108">
        <v>0.98</v>
      </c>
      <c r="V962" s="108"/>
      <c r="W962" s="108"/>
      <c r="X962" s="108"/>
      <c r="Y962" s="108"/>
      <c r="Z962" s="108"/>
      <c r="AA962" s="108"/>
      <c r="AB962" s="108"/>
    </row>
    <row r="963" spans="19:34" x14ac:dyDescent="0.25">
      <c r="S963" s="116"/>
      <c r="T963" s="108" t="s">
        <v>106</v>
      </c>
      <c r="U963" s="143">
        <f>U956</f>
        <v>0</v>
      </c>
      <c r="V963" s="108" t="s">
        <v>117</v>
      </c>
      <c r="W963" s="108"/>
      <c r="X963" s="108"/>
      <c r="Y963" s="108"/>
      <c r="Z963" s="108"/>
      <c r="AA963" s="108"/>
      <c r="AB963" s="108"/>
    </row>
    <row r="964" spans="19:34" x14ac:dyDescent="0.25">
      <c r="S964" s="116"/>
      <c r="T964" s="108" t="s">
        <v>118</v>
      </c>
      <c r="U964" s="143">
        <f>C53+273.15</f>
        <v>273.14999999999998</v>
      </c>
      <c r="V964" s="108" t="s">
        <v>49</v>
      </c>
      <c r="W964" s="108"/>
      <c r="X964" s="108"/>
      <c r="Y964" s="108"/>
      <c r="Z964" s="108"/>
      <c r="AA964" s="108"/>
      <c r="AB964" s="108"/>
    </row>
    <row r="965" spans="19:34" x14ac:dyDescent="0.25">
      <c r="S965" s="116"/>
      <c r="T965" s="108"/>
      <c r="U965" s="108"/>
      <c r="V965" s="108"/>
      <c r="W965" s="108"/>
      <c r="X965" s="108"/>
      <c r="Y965" s="108"/>
      <c r="Z965" s="108"/>
      <c r="AA965" s="108"/>
      <c r="AB965" s="108"/>
    </row>
    <row r="966" spans="19:34" x14ac:dyDescent="0.25">
      <c r="S966" s="116"/>
      <c r="T966" s="108" t="s">
        <v>121</v>
      </c>
      <c r="U966" s="108" t="e">
        <f>(0.98*U955*U964)/U963</f>
        <v>#DIV/0!</v>
      </c>
      <c r="V966" s="108" t="s">
        <v>113</v>
      </c>
      <c r="W966" s="108"/>
      <c r="X966" s="108"/>
      <c r="Y966" s="108"/>
      <c r="Z966" s="108"/>
      <c r="AA966" s="108"/>
      <c r="AB966" s="108"/>
    </row>
    <row r="967" spans="19:34" x14ac:dyDescent="0.25">
      <c r="S967" s="116"/>
      <c r="T967" s="116"/>
      <c r="U967" s="129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6"/>
    </row>
    <row r="968" spans="19:34" ht="15.75" thickBot="1" x14ac:dyDescent="0.3"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6"/>
    </row>
    <row r="969" spans="19:34" ht="15.75" thickBot="1" x14ac:dyDescent="0.3">
      <c r="S969" s="116"/>
      <c r="V969" s="162" t="s">
        <v>60</v>
      </c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3"/>
      <c r="AG969" s="163"/>
      <c r="AH969" s="164"/>
    </row>
    <row r="970" spans="19:34" x14ac:dyDescent="0.25">
      <c r="S970" s="116"/>
      <c r="Y970" s="175" t="s">
        <v>63</v>
      </c>
      <c r="Z970" s="175"/>
      <c r="AA970" s="175"/>
      <c r="AB970" s="175"/>
      <c r="AC970" s="175"/>
      <c r="AD970" s="175"/>
      <c r="AE970" s="175"/>
      <c r="AF970" s="175"/>
      <c r="AG970" s="175"/>
      <c r="AH970" s="175"/>
    </row>
    <row r="971" spans="19:34" ht="17.25" x14ac:dyDescent="0.25">
      <c r="S971" s="116">
        <v>31</v>
      </c>
      <c r="T971" s="70" t="s">
        <v>76</v>
      </c>
      <c r="U971" s="130" t="s">
        <v>77</v>
      </c>
      <c r="V971" s="70" t="s">
        <v>78</v>
      </c>
      <c r="W971" s="70" t="s">
        <v>79</v>
      </c>
      <c r="X971" s="70" t="s">
        <v>80</v>
      </c>
      <c r="Y971" s="131" t="s">
        <v>30</v>
      </c>
      <c r="Z971" s="131" t="s">
        <v>32</v>
      </c>
      <c r="AA971" s="131" t="s">
        <v>81</v>
      </c>
      <c r="AB971" s="131" t="s">
        <v>25</v>
      </c>
      <c r="AC971" s="131" t="s">
        <v>26</v>
      </c>
      <c r="AD971" s="131" t="s">
        <v>27</v>
      </c>
      <c r="AE971" s="131" t="s">
        <v>28</v>
      </c>
      <c r="AF971" s="131" t="s">
        <v>82</v>
      </c>
      <c r="AG971" s="131" t="s">
        <v>29</v>
      </c>
      <c r="AH971" s="132" t="s">
        <v>31</v>
      </c>
    </row>
    <row r="972" spans="19:34" x14ac:dyDescent="0.25">
      <c r="S972" s="116"/>
      <c r="T972" s="70" t="e">
        <f>K54</f>
        <v>#REF!</v>
      </c>
      <c r="U972" s="69" t="e">
        <f>+S8*T972</f>
        <v>#REF!</v>
      </c>
      <c r="V972" s="69" t="e">
        <f>$T$972*T972</f>
        <v>#REF!</v>
      </c>
      <c r="W972" s="69">
        <f>$R$8*R8</f>
        <v>4.2845172623208805E-2</v>
      </c>
      <c r="X972" s="69">
        <f>SQRT(W972)</f>
        <v>0.20699075492207086</v>
      </c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</row>
    <row r="973" spans="19:34" x14ac:dyDescent="0.25">
      <c r="S973" s="116"/>
      <c r="T973" s="70" t="e">
        <f>M54</f>
        <v>#REF!</v>
      </c>
      <c r="U973" s="69" t="e">
        <f t="shared" ref="U973:U981" si="282">+S9*T973</f>
        <v>#REF!</v>
      </c>
      <c r="V973" s="69" t="e">
        <f t="shared" ref="V973:V981" si="283">$T$972*T973</f>
        <v>#REF!</v>
      </c>
      <c r="W973" s="69">
        <f t="shared" ref="W973:W981" si="284">$R$8*R9</f>
        <v>0.12918986849197683</v>
      </c>
      <c r="X973" s="69">
        <f t="shared" ref="X973:X981" si="285">SQRT(W973)</f>
        <v>0.35942992153127268</v>
      </c>
      <c r="Y973" s="70" t="e">
        <f t="shared" ref="Y973:Y981" si="286">(($T$972*T973)*SQRT($R$8*R9))*(1-B60)</f>
        <v>#REF!</v>
      </c>
      <c r="Z973" s="70"/>
      <c r="AA973" s="70"/>
      <c r="AB973" s="70"/>
      <c r="AC973" s="70"/>
      <c r="AD973" s="70"/>
      <c r="AE973" s="70"/>
      <c r="AF973" s="70"/>
      <c r="AG973" s="70"/>
      <c r="AH973" s="70"/>
    </row>
    <row r="974" spans="19:34" x14ac:dyDescent="0.25">
      <c r="S974" s="116"/>
      <c r="T974" s="70" t="e">
        <f>+E54</f>
        <v>#REF!</v>
      </c>
      <c r="U974" s="69" t="e">
        <f t="shared" si="282"/>
        <v>#REF!</v>
      </c>
      <c r="V974" s="69" t="e">
        <f t="shared" si="283"/>
        <v>#REF!</v>
      </c>
      <c r="W974" s="69">
        <f t="shared" si="284"/>
        <v>0.24193902239770376</v>
      </c>
      <c r="X974" s="69">
        <f t="shared" si="285"/>
        <v>0.49187297384355622</v>
      </c>
      <c r="Y974" s="70" t="e">
        <f t="shared" si="286"/>
        <v>#REF!</v>
      </c>
      <c r="Z974" s="70" t="e">
        <f t="shared" ref="Z974:Z981" si="287">(($T$973*T974)*SQRT($R$9*R10))*(1-B61)</f>
        <v>#REF!</v>
      </c>
      <c r="AA974" s="70"/>
      <c r="AB974" s="70"/>
      <c r="AC974" s="70"/>
      <c r="AD974" s="70"/>
      <c r="AE974" s="70"/>
      <c r="AF974" s="70"/>
      <c r="AG974" s="70"/>
      <c r="AH974" s="70"/>
    </row>
    <row r="975" spans="19:34" x14ac:dyDescent="0.25">
      <c r="S975" s="116"/>
      <c r="T975" s="70" t="e">
        <f>+G54</f>
        <v>#REF!</v>
      </c>
      <c r="U975" s="69" t="e">
        <f t="shared" si="282"/>
        <v>#REF!</v>
      </c>
      <c r="V975" s="69" t="e">
        <f t="shared" si="283"/>
        <v>#REF!</v>
      </c>
      <c r="W975" s="69">
        <f t="shared" si="284"/>
        <v>0.39059496580954223</v>
      </c>
      <c r="X975" s="69">
        <f t="shared" si="285"/>
        <v>0.62497597218576506</v>
      </c>
      <c r="Y975" s="70" t="e">
        <f t="shared" si="286"/>
        <v>#REF!</v>
      </c>
      <c r="Z975" s="70" t="e">
        <f t="shared" si="287"/>
        <v>#REF!</v>
      </c>
      <c r="AA975" s="70" t="e">
        <f t="shared" ref="AA975:AA981" si="288">(($T$974*U975)*SQRT($R$10*S11))*(1-C62)</f>
        <v>#REF!</v>
      </c>
      <c r="AB975" s="70"/>
      <c r="AC975" s="70"/>
      <c r="AD975" s="70"/>
      <c r="AE975" s="70"/>
      <c r="AF975" s="70"/>
      <c r="AG975" s="70"/>
      <c r="AH975" s="70"/>
    </row>
    <row r="976" spans="19:34" x14ac:dyDescent="0.25">
      <c r="S976" s="116"/>
      <c r="T976" s="70" t="e">
        <f>+F54</f>
        <v>#REF!</v>
      </c>
      <c r="U976" s="69" t="e">
        <f t="shared" si="282"/>
        <v>#REF!</v>
      </c>
      <c r="V976" s="69" t="e">
        <f t="shared" si="283"/>
        <v>#REF!</v>
      </c>
      <c r="W976" s="69">
        <f t="shared" si="284"/>
        <v>0.36453710099529019</v>
      </c>
      <c r="X976" s="69">
        <f t="shared" si="285"/>
        <v>0.60376907919774281</v>
      </c>
      <c r="Y976" s="70" t="e">
        <f t="shared" si="286"/>
        <v>#REF!</v>
      </c>
      <c r="Z976" s="70" t="e">
        <f t="shared" si="287"/>
        <v>#REF!</v>
      </c>
      <c r="AA976" s="70" t="e">
        <f t="shared" si="288"/>
        <v>#REF!</v>
      </c>
      <c r="AB976" s="70" t="e">
        <f t="shared" ref="AB976:AB981" si="289">(($T$975*V976)*SQRT($R$11*T976))*(1-D63)</f>
        <v>#REF!</v>
      </c>
      <c r="AC976" s="70"/>
      <c r="AD976" s="70"/>
      <c r="AE976" s="70"/>
      <c r="AF976" s="70"/>
      <c r="AG976" s="70"/>
      <c r="AH976" s="70"/>
    </row>
    <row r="977" spans="19:34" x14ac:dyDescent="0.25">
      <c r="S977" s="116"/>
      <c r="T977" s="70" t="e">
        <f>+I54</f>
        <v>#REF!</v>
      </c>
      <c r="U977" s="69" t="e">
        <f t="shared" si="282"/>
        <v>#REF!</v>
      </c>
      <c r="V977" s="69" t="e">
        <f t="shared" si="283"/>
        <v>#REF!</v>
      </c>
      <c r="W977" s="69">
        <f t="shared" si="284"/>
        <v>0.57891172563229198</v>
      </c>
      <c r="X977" s="69">
        <f t="shared" si="285"/>
        <v>0.76086248799128742</v>
      </c>
      <c r="Y977" s="70" t="e">
        <f t="shared" si="286"/>
        <v>#REF!</v>
      </c>
      <c r="Z977" s="70" t="e">
        <f t="shared" si="287"/>
        <v>#REF!</v>
      </c>
      <c r="AA977" s="70" t="e">
        <f t="shared" si="288"/>
        <v>#REF!</v>
      </c>
      <c r="AB977" s="70" t="e">
        <f t="shared" si="289"/>
        <v>#REF!</v>
      </c>
      <c r="AC977" s="70" t="e">
        <f>(($T$976*W977)*SQRT($R$12*U977))*(1-E64)</f>
        <v>#REF!</v>
      </c>
      <c r="AD977" s="70"/>
      <c r="AE977" s="70"/>
      <c r="AF977" s="70"/>
      <c r="AG977" s="70"/>
      <c r="AH977" s="70"/>
    </row>
    <row r="978" spans="19:34" x14ac:dyDescent="0.25">
      <c r="S978" s="116"/>
      <c r="T978" s="70" t="e">
        <f>+H54</f>
        <v>#REF!</v>
      </c>
      <c r="U978" s="69" t="e">
        <f t="shared" si="282"/>
        <v>#REF!</v>
      </c>
      <c r="V978" s="69" t="e">
        <f t="shared" si="283"/>
        <v>#REF!</v>
      </c>
      <c r="W978" s="69">
        <f t="shared" si="284"/>
        <v>0.54235185847350886</v>
      </c>
      <c r="X978" s="69">
        <f t="shared" si="285"/>
        <v>0.73644542124553181</v>
      </c>
      <c r="Y978" s="70" t="e">
        <f t="shared" si="286"/>
        <v>#REF!</v>
      </c>
      <c r="Z978" s="70" t="e">
        <f t="shared" si="287"/>
        <v>#REF!</v>
      </c>
      <c r="AA978" s="70" t="e">
        <f t="shared" si="288"/>
        <v>#REF!</v>
      </c>
      <c r="AB978" s="70" t="e">
        <f t="shared" si="289"/>
        <v>#REF!</v>
      </c>
      <c r="AC978" s="70" t="e">
        <f>(($T$976*W978)*SQRT($R$12*U978))*(1-E65)</f>
        <v>#REF!</v>
      </c>
      <c r="AD978" s="70" t="e">
        <f>(($T$977*X978)*SQRT($R$13*V978))*(1-F65)</f>
        <v>#REF!</v>
      </c>
      <c r="AE978" s="70"/>
      <c r="AF978" s="70"/>
      <c r="AG978" s="70"/>
      <c r="AH978" s="70"/>
    </row>
    <row r="979" spans="19:34" x14ac:dyDescent="0.25">
      <c r="S979" s="116"/>
      <c r="T979" s="70" t="e">
        <f>+D54</f>
        <v>#REF!</v>
      </c>
      <c r="U979" s="69" t="e">
        <f t="shared" si="282"/>
        <v>#REF!</v>
      </c>
      <c r="V979" s="69" t="e">
        <f t="shared" si="283"/>
        <v>#REF!</v>
      </c>
      <c r="W979" s="69">
        <f t="shared" si="284"/>
        <v>0.8050809492880614</v>
      </c>
      <c r="X979" s="69">
        <f t="shared" si="285"/>
        <v>0.89726303238685889</v>
      </c>
      <c r="Y979" s="70" t="e">
        <f t="shared" si="286"/>
        <v>#REF!</v>
      </c>
      <c r="Z979" s="70" t="e">
        <f t="shared" si="287"/>
        <v>#REF!</v>
      </c>
      <c r="AA979" s="70" t="e">
        <f t="shared" si="288"/>
        <v>#REF!</v>
      </c>
      <c r="AB979" s="70" t="e">
        <f t="shared" si="289"/>
        <v>#REF!</v>
      </c>
      <c r="AC979" s="70" t="e">
        <f>(($T$976*W979)*SQRT($R$12*U979))*(1-E66)</f>
        <v>#REF!</v>
      </c>
      <c r="AD979" s="70" t="e">
        <f>(($T$977*X979)*SQRT($R$13*V979))*(1-F66)</f>
        <v>#REF!</v>
      </c>
      <c r="AE979" s="70" t="e">
        <f>(($T$978*Y979)*SQRT($R$14*W979))*(1-G66)</f>
        <v>#REF!</v>
      </c>
      <c r="AF979" s="70"/>
      <c r="AG979" s="70"/>
      <c r="AH979" s="70"/>
    </row>
    <row r="980" spans="19:34" x14ac:dyDescent="0.25">
      <c r="S980" s="116"/>
      <c r="T980" s="70" t="e">
        <f>+J54</f>
        <v>#REF!</v>
      </c>
      <c r="U980" s="69" t="e">
        <f t="shared" si="282"/>
        <v>#REF!</v>
      </c>
      <c r="V980" s="69" t="e">
        <f t="shared" si="283"/>
        <v>#REF!</v>
      </c>
      <c r="W980" s="69">
        <f t="shared" si="284"/>
        <v>1.8651528335962096E-2</v>
      </c>
      <c r="X980" s="69">
        <f t="shared" si="285"/>
        <v>0.13657059835836591</v>
      </c>
      <c r="Y980" s="70" t="e">
        <f t="shared" si="286"/>
        <v>#REF!</v>
      </c>
      <c r="Z980" s="70" t="e">
        <f t="shared" si="287"/>
        <v>#REF!</v>
      </c>
      <c r="AA980" s="70" t="e">
        <f t="shared" si="288"/>
        <v>#REF!</v>
      </c>
      <c r="AB980" s="70" t="e">
        <f t="shared" si="289"/>
        <v>#REF!</v>
      </c>
      <c r="AC980" s="70" t="e">
        <f>(($T$976*W980)*SQRT($R$12*U980))*(1-E67)</f>
        <v>#REF!</v>
      </c>
      <c r="AD980" s="70" t="e">
        <f>(($T$977*X980)*SQRT($R$13*V980))*(1-F67)</f>
        <v>#REF!</v>
      </c>
      <c r="AE980" s="70" t="e">
        <f>(($T$978*Y980)*SQRT($R$14*W980))*(1-G67)</f>
        <v>#REF!</v>
      </c>
      <c r="AF980" s="70" t="e">
        <f>(($T$979*Z980)*SQRT($R$15*X980))*(1-H67)</f>
        <v>#REF!</v>
      </c>
      <c r="AG980" s="70"/>
      <c r="AH980" s="70"/>
    </row>
    <row r="981" spans="19:34" x14ac:dyDescent="0.25">
      <c r="S981" s="116"/>
      <c r="T981" s="70" t="e">
        <f>L54</f>
        <v>#REF!</v>
      </c>
      <c r="U981" s="69" t="e">
        <f t="shared" si="282"/>
        <v>#REF!</v>
      </c>
      <c r="V981" s="69" t="e">
        <f t="shared" si="283"/>
        <v>#REF!</v>
      </c>
      <c r="W981" s="69">
        <f t="shared" si="284"/>
        <v>8.5334097849090448E-2</v>
      </c>
      <c r="X981" s="69">
        <f t="shared" si="285"/>
        <v>0.29212000590355064</v>
      </c>
      <c r="Y981" s="70" t="e">
        <f t="shared" si="286"/>
        <v>#REF!</v>
      </c>
      <c r="Z981" s="70" t="e">
        <f t="shared" si="287"/>
        <v>#REF!</v>
      </c>
      <c r="AA981" s="70" t="e">
        <f t="shared" si="288"/>
        <v>#REF!</v>
      </c>
      <c r="AB981" s="70" t="e">
        <f t="shared" si="289"/>
        <v>#REF!</v>
      </c>
      <c r="AC981" s="70" t="e">
        <f>(($T$976*W981)*SQRT($R$12*U981))*(1-E68)</f>
        <v>#REF!</v>
      </c>
      <c r="AD981" s="70" t="e">
        <f>(($T$977*X981)*SQRT($R$13*V981))*(1-F68)</f>
        <v>#REF!</v>
      </c>
      <c r="AE981" s="70" t="e">
        <f>(($T$978*Y981)*SQRT($R$14*W981))*(1-G68)</f>
        <v>#REF!</v>
      </c>
      <c r="AF981" s="70" t="e">
        <f>(($T$979*Z981)*SQRT($R$15*X981))*(1-H68)</f>
        <v>#REF!</v>
      </c>
      <c r="AG981" s="70" t="e">
        <f>(($T$980*AA981)*SQRT($R$16*Y981))*(1-I68)</f>
        <v>#REF!</v>
      </c>
      <c r="AH981" s="70"/>
    </row>
    <row r="982" spans="19:34" x14ac:dyDescent="0.25">
      <c r="S982" s="116"/>
      <c r="T982" s="130" t="s">
        <v>77</v>
      </c>
      <c r="U982" s="133" t="e">
        <f>SUM(U972:U981)</f>
        <v>#REF!</v>
      </c>
      <c r="V982" s="108"/>
      <c r="W982" s="108"/>
      <c r="X982" s="108"/>
      <c r="Y982" s="70" t="e">
        <f>SUM(Y973:Y981)</f>
        <v>#REF!</v>
      </c>
      <c r="Z982" s="70" t="e">
        <f t="shared" ref="Z982:AG982" si="290">SUM(Z973:Z981)</f>
        <v>#REF!</v>
      </c>
      <c r="AA982" s="70" t="e">
        <f t="shared" si="290"/>
        <v>#REF!</v>
      </c>
      <c r="AB982" s="70" t="e">
        <f t="shared" si="290"/>
        <v>#REF!</v>
      </c>
      <c r="AC982" s="70" t="e">
        <f t="shared" si="290"/>
        <v>#REF!</v>
      </c>
      <c r="AD982" s="70" t="e">
        <f t="shared" si="290"/>
        <v>#REF!</v>
      </c>
      <c r="AE982" s="70" t="e">
        <f t="shared" si="290"/>
        <v>#REF!</v>
      </c>
      <c r="AF982" s="70" t="e">
        <f t="shared" si="290"/>
        <v>#REF!</v>
      </c>
      <c r="AG982" s="70" t="e">
        <f t="shared" si="290"/>
        <v>#REF!</v>
      </c>
      <c r="AH982" s="130" t="e">
        <f>SUM(Y982:AG982)</f>
        <v>#REF!</v>
      </c>
    </row>
    <row r="983" spans="19:34" x14ac:dyDescent="0.25">
      <c r="S983" s="116"/>
    </row>
    <row r="984" spans="19:34" x14ac:dyDescent="0.25">
      <c r="S984" s="116"/>
      <c r="T984" s="112" t="s">
        <v>99</v>
      </c>
      <c r="U984" s="108"/>
      <c r="V984" s="108"/>
      <c r="W984" s="108"/>
      <c r="X984" s="108"/>
      <c r="Y984" s="108"/>
      <c r="Z984" s="108"/>
      <c r="AA984" s="108"/>
      <c r="AB984" s="108"/>
    </row>
    <row r="985" spans="19:34" x14ac:dyDescent="0.25">
      <c r="S985" s="116"/>
      <c r="T985" s="137" t="s">
        <v>100</v>
      </c>
      <c r="U985" s="138" t="e">
        <f>+AH982</f>
        <v>#REF!</v>
      </c>
      <c r="V985" s="138" t="s">
        <v>101</v>
      </c>
      <c r="W985" s="139"/>
      <c r="X985" s="108"/>
      <c r="Y985" s="108"/>
      <c r="Z985" s="108"/>
      <c r="AA985" s="108"/>
      <c r="AB985" s="108"/>
    </row>
    <row r="986" spans="19:34" x14ac:dyDescent="0.25">
      <c r="S986" s="116"/>
      <c r="T986" s="137" t="s">
        <v>103</v>
      </c>
      <c r="U986" s="138" t="e">
        <f>+U982</f>
        <v>#REF!</v>
      </c>
      <c r="V986" s="138" t="s">
        <v>101</v>
      </c>
      <c r="W986" s="108"/>
      <c r="X986" s="108"/>
      <c r="Y986" s="108"/>
      <c r="Z986" s="140" t="e">
        <f>(U990*U990)+(2*U986*U990)-(U986*U986)</f>
        <v>#DIV/0!</v>
      </c>
      <c r="AA986" s="108"/>
      <c r="AB986" s="108"/>
    </row>
    <row r="987" spans="19:34" x14ac:dyDescent="0.25">
      <c r="S987" s="116"/>
      <c r="T987" s="137" t="s">
        <v>104</v>
      </c>
      <c r="U987" s="138">
        <v>8.3145100000000003</v>
      </c>
      <c r="V987" s="138" t="s">
        <v>105</v>
      </c>
      <c r="W987" s="108"/>
      <c r="X987" s="108"/>
      <c r="Y987" s="108"/>
      <c r="Z987" s="140"/>
      <c r="AA987" s="108"/>
      <c r="AB987" s="108"/>
    </row>
    <row r="988" spans="19:34" x14ac:dyDescent="0.25">
      <c r="S988" s="116"/>
      <c r="T988" s="137" t="s">
        <v>106</v>
      </c>
      <c r="U988" s="141">
        <f>B54*98066.5</f>
        <v>0</v>
      </c>
      <c r="V988" s="142" t="s">
        <v>107</v>
      </c>
      <c r="W988" s="108"/>
      <c r="X988" s="108"/>
      <c r="Y988" s="108"/>
      <c r="Z988" s="140" t="e">
        <f>U985/Z986</f>
        <v>#REF!</v>
      </c>
      <c r="AA988" s="108"/>
      <c r="AB988" s="108"/>
    </row>
    <row r="989" spans="19:34" x14ac:dyDescent="0.25">
      <c r="S989" s="116"/>
      <c r="T989" s="137" t="s">
        <v>108</v>
      </c>
      <c r="U989" s="141" t="s">
        <v>109</v>
      </c>
      <c r="V989" s="138" t="s">
        <v>110</v>
      </c>
      <c r="W989" s="108"/>
      <c r="X989" s="108"/>
      <c r="Y989" s="108"/>
      <c r="Z989" s="140"/>
      <c r="AA989" s="108"/>
      <c r="AB989" s="108"/>
    </row>
    <row r="990" spans="19:34" x14ac:dyDescent="0.25">
      <c r="S990" s="116"/>
      <c r="T990" s="137" t="s">
        <v>112</v>
      </c>
      <c r="U990" s="138" t="e">
        <f>+U998</f>
        <v>#DIV/0!</v>
      </c>
      <c r="V990" s="138" t="s">
        <v>113</v>
      </c>
      <c r="W990" s="108"/>
      <c r="X990" s="108"/>
      <c r="Y990" s="108"/>
      <c r="Z990" s="140" t="e">
        <f>U990-U986</f>
        <v>#DIV/0!</v>
      </c>
      <c r="AA990" s="108"/>
      <c r="AB990" s="108"/>
    </row>
    <row r="991" spans="19:34" x14ac:dyDescent="0.25">
      <c r="S991" s="116"/>
      <c r="T991" s="108"/>
      <c r="U991" s="108"/>
      <c r="V991" s="108"/>
      <c r="W991" s="108"/>
      <c r="X991" s="108"/>
      <c r="Y991" s="108"/>
      <c r="Z991" s="108"/>
      <c r="AA991" s="108"/>
      <c r="AB991" s="108"/>
    </row>
    <row r="992" spans="19:34" x14ac:dyDescent="0.25">
      <c r="S992" s="116"/>
      <c r="T992" s="108"/>
      <c r="U992" s="108"/>
      <c r="V992" s="108"/>
      <c r="W992" s="108"/>
      <c r="X992" s="108"/>
      <c r="Y992" s="108"/>
      <c r="Z992" s="108"/>
      <c r="AA992" s="108"/>
      <c r="AB992" s="108"/>
    </row>
    <row r="993" spans="19:34" x14ac:dyDescent="0.25">
      <c r="S993" s="116"/>
      <c r="T993" s="108"/>
      <c r="U993" s="108"/>
      <c r="V993" s="108"/>
      <c r="W993" s="108"/>
      <c r="X993" s="108"/>
      <c r="Y993" s="108"/>
      <c r="Z993" s="108"/>
      <c r="AA993" s="108"/>
      <c r="AB993" s="108"/>
    </row>
    <row r="994" spans="19:34" x14ac:dyDescent="0.25">
      <c r="S994" s="116"/>
      <c r="T994" s="108" t="s">
        <v>116</v>
      </c>
      <c r="U994" s="108">
        <v>0.98</v>
      </c>
      <c r="V994" s="108"/>
      <c r="W994" s="108"/>
      <c r="X994" s="108"/>
      <c r="Y994" s="108"/>
      <c r="Z994" s="108"/>
      <c r="AA994" s="108"/>
      <c r="AB994" s="108"/>
    </row>
    <row r="995" spans="19:34" x14ac:dyDescent="0.25">
      <c r="S995" s="116"/>
      <c r="T995" s="108" t="s">
        <v>106</v>
      </c>
      <c r="U995" s="143">
        <f>U988</f>
        <v>0</v>
      </c>
      <c r="V995" s="108" t="s">
        <v>117</v>
      </c>
      <c r="W995" s="108"/>
      <c r="X995" s="108"/>
      <c r="Y995" s="108"/>
      <c r="Z995" s="108"/>
      <c r="AA995" s="108"/>
      <c r="AB995" s="108"/>
    </row>
    <row r="996" spans="19:34" x14ac:dyDescent="0.25">
      <c r="S996" s="116"/>
      <c r="T996" s="108" t="s">
        <v>118</v>
      </c>
      <c r="U996" s="143">
        <f>C54+273.15</f>
        <v>273.14999999999998</v>
      </c>
      <c r="V996" s="108" t="s">
        <v>49</v>
      </c>
      <c r="W996" s="108"/>
      <c r="X996" s="108"/>
      <c r="Y996" s="108"/>
      <c r="Z996" s="108"/>
      <c r="AA996" s="108"/>
      <c r="AB996" s="108"/>
    </row>
    <row r="997" spans="19:34" x14ac:dyDescent="0.25">
      <c r="S997" s="116"/>
      <c r="T997" s="108"/>
      <c r="U997" s="108"/>
      <c r="V997" s="108"/>
      <c r="W997" s="108"/>
      <c r="X997" s="108"/>
      <c r="Y997" s="108"/>
      <c r="Z997" s="108"/>
      <c r="AA997" s="108"/>
      <c r="AB997" s="108"/>
    </row>
    <row r="998" spans="19:34" x14ac:dyDescent="0.25">
      <c r="S998" s="116"/>
      <c r="T998" s="108" t="s">
        <v>121</v>
      </c>
      <c r="U998" s="108" t="e">
        <f>(0.98*U987*U996)/U995</f>
        <v>#DIV/0!</v>
      </c>
      <c r="V998" s="108" t="s">
        <v>113</v>
      </c>
      <c r="W998" s="108"/>
      <c r="X998" s="108"/>
      <c r="Y998" s="108"/>
      <c r="Z998" s="108"/>
      <c r="AA998" s="108"/>
      <c r="AB998" s="108"/>
    </row>
    <row r="999" spans="19:34" x14ac:dyDescent="0.25"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116"/>
      <c r="AH999" s="116"/>
    </row>
    <row r="1000" spans="19:34" x14ac:dyDescent="0.25"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116"/>
      <c r="AH1000" s="116"/>
    </row>
    <row r="1001" spans="19:34" x14ac:dyDescent="0.25"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  <c r="AE1001" s="116"/>
      <c r="AF1001" s="116"/>
      <c r="AG1001" s="116"/>
      <c r="AH1001" s="116"/>
    </row>
    <row r="1002" spans="19:34" x14ac:dyDescent="0.25">
      <c r="S1002" s="116"/>
      <c r="T1002" s="116"/>
      <c r="U1002" s="129"/>
      <c r="V1002" s="116"/>
      <c r="W1002" s="116"/>
      <c r="X1002" s="116"/>
      <c r="Y1002" s="116"/>
      <c r="Z1002" s="116"/>
      <c r="AA1002" s="116"/>
      <c r="AB1002" s="116"/>
      <c r="AC1002" s="116"/>
      <c r="AD1002" s="116"/>
      <c r="AE1002" s="116"/>
      <c r="AF1002" s="116"/>
      <c r="AG1002" s="116"/>
      <c r="AH1002" s="116"/>
    </row>
    <row r="1003" spans="19:34" x14ac:dyDescent="0.25">
      <c r="S1003" s="116"/>
      <c r="T1003" s="116"/>
      <c r="U1003" s="129"/>
      <c r="V1003" s="116"/>
      <c r="W1003" s="116"/>
      <c r="X1003" s="116"/>
      <c r="Y1003" s="116"/>
      <c r="Z1003" s="116"/>
      <c r="AA1003" s="116"/>
      <c r="AB1003" s="116"/>
      <c r="AC1003" s="116"/>
      <c r="AD1003" s="116"/>
      <c r="AE1003" s="116"/>
      <c r="AF1003" s="116"/>
      <c r="AG1003" s="116"/>
      <c r="AH1003" s="116"/>
    </row>
    <row r="1004" spans="19:34" x14ac:dyDescent="0.25"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6"/>
    </row>
    <row r="1005" spans="19:34" x14ac:dyDescent="0.25"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116"/>
      <c r="AE1005" s="116"/>
      <c r="AF1005" s="116"/>
      <c r="AG1005" s="116"/>
      <c r="AH1005" s="116"/>
    </row>
    <row r="1006" spans="19:34" x14ac:dyDescent="0.25"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116"/>
      <c r="AE1006" s="116"/>
      <c r="AF1006" s="116"/>
      <c r="AG1006" s="116"/>
      <c r="AH1006" s="116"/>
    </row>
    <row r="1007" spans="19:34" x14ac:dyDescent="0.25"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116"/>
      <c r="AE1007" s="116"/>
      <c r="AF1007" s="116"/>
      <c r="AG1007" s="116"/>
      <c r="AH1007" s="116"/>
    </row>
    <row r="1008" spans="19:34" x14ac:dyDescent="0.25">
      <c r="S1008" s="116"/>
      <c r="T1008" s="116"/>
      <c r="U1008" s="116"/>
      <c r="V1008" s="179"/>
      <c r="W1008" s="179"/>
      <c r="X1008" s="179"/>
      <c r="Y1008" s="179"/>
      <c r="Z1008" s="179"/>
      <c r="AA1008" s="179"/>
      <c r="AB1008" s="179"/>
      <c r="AC1008" s="179"/>
      <c r="AD1008" s="179"/>
      <c r="AE1008" s="179"/>
      <c r="AF1008" s="179"/>
      <c r="AG1008" s="179"/>
      <c r="AH1008" s="179"/>
    </row>
    <row r="1009" spans="19:34" x14ac:dyDescent="0.25">
      <c r="S1009" s="116"/>
      <c r="T1009" s="116"/>
      <c r="U1009" s="116"/>
      <c r="V1009" s="116"/>
      <c r="W1009" s="116"/>
      <c r="X1009" s="116"/>
      <c r="Y1009" s="180"/>
      <c r="Z1009" s="180"/>
      <c r="AA1009" s="180"/>
      <c r="AB1009" s="180"/>
      <c r="AC1009" s="180"/>
      <c r="AD1009" s="180"/>
      <c r="AE1009" s="180"/>
      <c r="AF1009" s="180"/>
      <c r="AG1009" s="180"/>
      <c r="AH1009" s="180"/>
    </row>
    <row r="1010" spans="19:34" x14ac:dyDescent="0.25">
      <c r="S1010" s="116"/>
      <c r="T1010" s="147"/>
      <c r="U1010" s="148"/>
      <c r="V1010" s="147"/>
      <c r="W1010" s="147"/>
      <c r="X1010" s="147"/>
      <c r="Y1010" s="149"/>
      <c r="Z1010" s="149"/>
      <c r="AA1010" s="149"/>
      <c r="AB1010" s="149"/>
      <c r="AC1010" s="149"/>
      <c r="AD1010" s="149"/>
      <c r="AE1010" s="149"/>
      <c r="AF1010" s="149"/>
      <c r="AG1010" s="149"/>
      <c r="AH1010" s="149"/>
    </row>
    <row r="1011" spans="19:34" x14ac:dyDescent="0.25">
      <c r="S1011" s="116"/>
      <c r="T1011" s="147"/>
      <c r="U1011" s="116"/>
      <c r="V1011" s="116"/>
      <c r="W1011" s="116"/>
      <c r="X1011" s="116"/>
      <c r="Y1011" s="147"/>
      <c r="Z1011" s="147"/>
      <c r="AA1011" s="147"/>
      <c r="AB1011" s="147"/>
      <c r="AC1011" s="147"/>
      <c r="AD1011" s="147"/>
      <c r="AE1011" s="147"/>
      <c r="AF1011" s="147"/>
      <c r="AG1011" s="147"/>
      <c r="AH1011" s="147"/>
    </row>
    <row r="1012" spans="19:34" x14ac:dyDescent="0.25">
      <c r="S1012" s="116"/>
      <c r="T1012" s="147"/>
      <c r="U1012" s="116"/>
      <c r="V1012" s="116"/>
      <c r="W1012" s="116"/>
      <c r="X1012" s="116"/>
      <c r="Y1012" s="147"/>
      <c r="Z1012" s="147"/>
      <c r="AA1012" s="147"/>
      <c r="AB1012" s="147"/>
      <c r="AC1012" s="147"/>
      <c r="AD1012" s="147"/>
      <c r="AE1012" s="147"/>
      <c r="AF1012" s="147"/>
      <c r="AG1012" s="147"/>
      <c r="AH1012" s="147"/>
    </row>
    <row r="1013" spans="19:34" x14ac:dyDescent="0.25">
      <c r="S1013" s="116"/>
      <c r="T1013" s="147"/>
      <c r="U1013" s="116"/>
      <c r="V1013" s="116"/>
      <c r="W1013" s="116"/>
      <c r="X1013" s="116"/>
      <c r="Y1013" s="147"/>
      <c r="Z1013" s="147"/>
      <c r="AA1013" s="147"/>
      <c r="AB1013" s="147"/>
      <c r="AC1013" s="147"/>
      <c r="AD1013" s="147"/>
      <c r="AE1013" s="147"/>
      <c r="AF1013" s="147"/>
      <c r="AG1013" s="147"/>
      <c r="AH1013" s="147"/>
    </row>
    <row r="1014" spans="19:34" x14ac:dyDescent="0.25">
      <c r="S1014" s="116"/>
      <c r="T1014" s="147"/>
      <c r="U1014" s="116"/>
      <c r="V1014" s="116"/>
      <c r="W1014" s="116"/>
      <c r="X1014" s="116"/>
      <c r="Y1014" s="147"/>
      <c r="Z1014" s="147"/>
      <c r="AA1014" s="147"/>
      <c r="AB1014" s="147"/>
      <c r="AC1014" s="147"/>
      <c r="AD1014" s="147"/>
      <c r="AE1014" s="147"/>
      <c r="AF1014" s="147"/>
      <c r="AG1014" s="147"/>
      <c r="AH1014" s="147"/>
    </row>
    <row r="1015" spans="19:34" x14ac:dyDescent="0.25">
      <c r="S1015" s="116"/>
      <c r="T1015" s="147"/>
      <c r="U1015" s="116"/>
      <c r="V1015" s="116"/>
      <c r="W1015" s="116"/>
      <c r="X1015" s="116"/>
      <c r="Y1015" s="147"/>
      <c r="Z1015" s="147"/>
      <c r="AA1015" s="147"/>
      <c r="AB1015" s="147"/>
      <c r="AC1015" s="147"/>
      <c r="AD1015" s="147"/>
      <c r="AE1015" s="147"/>
      <c r="AF1015" s="147"/>
      <c r="AG1015" s="147"/>
      <c r="AH1015" s="147"/>
    </row>
    <row r="1016" spans="19:34" x14ac:dyDescent="0.25">
      <c r="S1016" s="116"/>
      <c r="T1016" s="147"/>
      <c r="U1016" s="116"/>
      <c r="V1016" s="116"/>
      <c r="W1016" s="116"/>
      <c r="X1016" s="116"/>
      <c r="Y1016" s="147"/>
      <c r="Z1016" s="147"/>
      <c r="AA1016" s="147"/>
      <c r="AB1016" s="147"/>
      <c r="AC1016" s="147"/>
      <c r="AD1016" s="147"/>
      <c r="AE1016" s="147"/>
      <c r="AF1016" s="147"/>
      <c r="AG1016" s="147"/>
      <c r="AH1016" s="147"/>
    </row>
    <row r="1017" spans="19:34" x14ac:dyDescent="0.25">
      <c r="S1017" s="116"/>
      <c r="T1017" s="147"/>
      <c r="U1017" s="116"/>
      <c r="V1017" s="116"/>
      <c r="W1017" s="116"/>
      <c r="X1017" s="116"/>
      <c r="Y1017" s="147"/>
      <c r="Z1017" s="147"/>
      <c r="AA1017" s="147"/>
      <c r="AB1017" s="147"/>
      <c r="AC1017" s="147"/>
      <c r="AD1017" s="147"/>
      <c r="AE1017" s="147"/>
      <c r="AF1017" s="147"/>
      <c r="AG1017" s="147"/>
      <c r="AH1017" s="147"/>
    </row>
    <row r="1018" spans="19:34" x14ac:dyDescent="0.25">
      <c r="S1018" s="116"/>
      <c r="T1018" s="147"/>
      <c r="U1018" s="116"/>
      <c r="V1018" s="116"/>
      <c r="W1018" s="116"/>
      <c r="X1018" s="116"/>
      <c r="Y1018" s="147"/>
      <c r="Z1018" s="147"/>
      <c r="AA1018" s="147"/>
      <c r="AB1018" s="147"/>
      <c r="AC1018" s="147"/>
      <c r="AD1018" s="147"/>
      <c r="AE1018" s="147"/>
      <c r="AF1018" s="147"/>
      <c r="AG1018" s="147"/>
      <c r="AH1018" s="147"/>
    </row>
    <row r="1019" spans="19:34" x14ac:dyDescent="0.25">
      <c r="S1019" s="116"/>
      <c r="T1019" s="147"/>
      <c r="U1019" s="116"/>
      <c r="V1019" s="116"/>
      <c r="W1019" s="116"/>
      <c r="X1019" s="116"/>
      <c r="Y1019" s="147"/>
      <c r="Z1019" s="147"/>
      <c r="AA1019" s="147"/>
      <c r="AB1019" s="147"/>
      <c r="AC1019" s="147"/>
      <c r="AD1019" s="147"/>
      <c r="AE1019" s="147"/>
      <c r="AF1019" s="147"/>
      <c r="AG1019" s="147"/>
      <c r="AH1019" s="147"/>
    </row>
    <row r="1020" spans="19:34" x14ac:dyDescent="0.25">
      <c r="S1020" s="116"/>
      <c r="T1020" s="147"/>
      <c r="U1020" s="116"/>
      <c r="V1020" s="116"/>
      <c r="W1020" s="116"/>
      <c r="X1020" s="116"/>
      <c r="Y1020" s="147"/>
      <c r="Z1020" s="147"/>
      <c r="AA1020" s="147"/>
      <c r="AB1020" s="147"/>
      <c r="AC1020" s="147"/>
      <c r="AD1020" s="147"/>
      <c r="AE1020" s="147"/>
      <c r="AF1020" s="147"/>
      <c r="AG1020" s="147"/>
      <c r="AH1020" s="147"/>
    </row>
    <row r="1021" spans="19:34" x14ac:dyDescent="0.25">
      <c r="S1021" s="116"/>
      <c r="T1021" s="148"/>
      <c r="U1021" s="150"/>
      <c r="V1021" s="116"/>
      <c r="W1021" s="116"/>
      <c r="X1021" s="116"/>
      <c r="Y1021" s="147"/>
      <c r="Z1021" s="147"/>
      <c r="AA1021" s="147"/>
      <c r="AB1021" s="147"/>
      <c r="AC1021" s="147"/>
      <c r="AD1021" s="147"/>
      <c r="AE1021" s="147"/>
      <c r="AF1021" s="147"/>
      <c r="AG1021" s="147"/>
      <c r="AH1021" s="148"/>
    </row>
    <row r="1022" spans="19:34" x14ac:dyDescent="0.25">
      <c r="S1022" s="116"/>
      <c r="T1022" s="116"/>
      <c r="U1022" s="116"/>
      <c r="V1022" s="116"/>
      <c r="W1022" s="116"/>
      <c r="X1022" s="116"/>
      <c r="Y1022" s="116"/>
      <c r="Z1022" s="116"/>
      <c r="AA1022" s="116"/>
      <c r="AB1022" s="116"/>
      <c r="AC1022" s="116"/>
      <c r="AD1022" s="116"/>
      <c r="AE1022" s="116"/>
      <c r="AF1022" s="116"/>
      <c r="AG1022" s="116"/>
      <c r="AH1022" s="116"/>
    </row>
    <row r="1023" spans="19:34" x14ac:dyDescent="0.25">
      <c r="S1023" s="116"/>
      <c r="T1023" s="116"/>
      <c r="U1023" s="116"/>
      <c r="V1023" s="116"/>
      <c r="W1023" s="116"/>
      <c r="X1023" s="116"/>
      <c r="Y1023" s="116"/>
      <c r="Z1023" s="116"/>
      <c r="AA1023" s="116"/>
      <c r="AB1023" s="116"/>
      <c r="AC1023" s="116"/>
      <c r="AD1023" s="116"/>
      <c r="AE1023" s="116"/>
      <c r="AF1023" s="116"/>
      <c r="AG1023" s="116"/>
      <c r="AH1023" s="116"/>
    </row>
    <row r="1024" spans="19:34" x14ac:dyDescent="0.25">
      <c r="S1024" s="116"/>
      <c r="T1024" s="116"/>
      <c r="U1024" s="116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6"/>
    </row>
    <row r="1025" spans="19:34" x14ac:dyDescent="0.25">
      <c r="S1025" s="116"/>
      <c r="T1025" s="150"/>
      <c r="U1025" s="116"/>
      <c r="V1025" s="116"/>
      <c r="W1025" s="116"/>
      <c r="X1025" s="116"/>
      <c r="Y1025" s="116"/>
      <c r="Z1025" s="116"/>
      <c r="AA1025" s="116"/>
      <c r="AB1025" s="116"/>
      <c r="AC1025" s="116"/>
      <c r="AD1025" s="116"/>
      <c r="AE1025" s="116"/>
      <c r="AF1025" s="116"/>
      <c r="AG1025" s="116"/>
      <c r="AH1025" s="116"/>
    </row>
    <row r="1026" spans="19:34" x14ac:dyDescent="0.25">
      <c r="S1026" s="116"/>
      <c r="T1026" s="144"/>
      <c r="U1026" s="145"/>
      <c r="V1026" s="145"/>
      <c r="W1026" s="151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116"/>
      <c r="AH1026" s="116"/>
    </row>
    <row r="1027" spans="19:34" x14ac:dyDescent="0.25">
      <c r="S1027" s="116"/>
      <c r="T1027" s="144"/>
      <c r="U1027" s="145"/>
      <c r="V1027" s="145"/>
      <c r="W1027" s="116"/>
      <c r="X1027" s="116"/>
      <c r="Y1027" s="116"/>
      <c r="Z1027" s="146"/>
      <c r="AA1027" s="116"/>
      <c r="AB1027" s="116"/>
      <c r="AC1027" s="116"/>
      <c r="AD1027" s="116"/>
      <c r="AE1027" s="116"/>
      <c r="AF1027" s="116"/>
      <c r="AG1027" s="116"/>
      <c r="AH1027" s="116"/>
    </row>
    <row r="1028" spans="19:34" x14ac:dyDescent="0.25">
      <c r="S1028" s="116"/>
      <c r="T1028" s="144"/>
      <c r="U1028" s="145"/>
      <c r="V1028" s="145"/>
      <c r="W1028" s="116"/>
      <c r="X1028" s="116"/>
      <c r="Y1028" s="116"/>
      <c r="Z1028" s="146"/>
      <c r="AA1028" s="116"/>
      <c r="AB1028" s="116"/>
      <c r="AC1028" s="116"/>
      <c r="AD1028" s="116"/>
      <c r="AE1028" s="116"/>
      <c r="AF1028" s="116"/>
      <c r="AG1028" s="116"/>
      <c r="AH1028" s="116"/>
    </row>
    <row r="1029" spans="19:34" x14ac:dyDescent="0.25">
      <c r="S1029" s="116"/>
      <c r="T1029" s="144"/>
      <c r="U1029" s="152"/>
      <c r="V1029" s="153"/>
      <c r="W1029" s="116"/>
      <c r="X1029" s="116"/>
      <c r="Y1029" s="116"/>
      <c r="Z1029" s="146"/>
      <c r="AA1029" s="116"/>
      <c r="AB1029" s="116"/>
      <c r="AC1029" s="116"/>
      <c r="AD1029" s="116"/>
      <c r="AE1029" s="116"/>
      <c r="AF1029" s="116"/>
      <c r="AG1029" s="116"/>
      <c r="AH1029" s="116"/>
    </row>
    <row r="1030" spans="19:34" x14ac:dyDescent="0.25">
      <c r="S1030" s="116"/>
      <c r="T1030" s="144"/>
      <c r="U1030" s="152"/>
      <c r="V1030" s="145"/>
      <c r="W1030" s="116"/>
      <c r="X1030" s="116"/>
      <c r="Y1030" s="116"/>
      <c r="Z1030" s="146"/>
      <c r="AA1030" s="116"/>
      <c r="AB1030" s="116"/>
      <c r="AC1030" s="116"/>
      <c r="AD1030" s="116"/>
      <c r="AE1030" s="116"/>
      <c r="AF1030" s="116"/>
      <c r="AG1030" s="116"/>
      <c r="AH1030" s="116"/>
    </row>
    <row r="1031" spans="19:34" x14ac:dyDescent="0.25">
      <c r="S1031" s="116"/>
      <c r="T1031" s="144"/>
      <c r="U1031" s="145"/>
      <c r="V1031" s="145"/>
      <c r="W1031" s="116"/>
      <c r="X1031" s="116"/>
      <c r="Y1031" s="116"/>
      <c r="Z1031" s="146"/>
      <c r="AA1031" s="116"/>
      <c r="AB1031" s="116"/>
      <c r="AC1031" s="116"/>
      <c r="AD1031" s="116"/>
      <c r="AE1031" s="116"/>
      <c r="AF1031" s="116"/>
      <c r="AG1031" s="116"/>
      <c r="AH1031" s="116"/>
    </row>
    <row r="1032" spans="19:34" x14ac:dyDescent="0.25">
      <c r="S1032" s="116"/>
      <c r="T1032" s="116"/>
      <c r="U1032" s="116"/>
      <c r="V1032" s="116"/>
      <c r="W1032" s="116"/>
      <c r="X1032" s="116"/>
      <c r="Y1032" s="116"/>
      <c r="Z1032" s="116"/>
      <c r="AA1032" s="116"/>
      <c r="AB1032" s="116"/>
      <c r="AC1032" s="116"/>
      <c r="AD1032" s="116"/>
      <c r="AE1032" s="116"/>
      <c r="AF1032" s="116"/>
      <c r="AG1032" s="116"/>
      <c r="AH1032" s="116"/>
    </row>
    <row r="1033" spans="19:34" x14ac:dyDescent="0.25">
      <c r="S1033" s="116"/>
      <c r="T1033" s="116"/>
      <c r="U1033" s="116"/>
      <c r="V1033" s="116"/>
      <c r="W1033" s="116"/>
      <c r="X1033" s="116"/>
      <c r="Y1033" s="116"/>
      <c r="Z1033" s="116"/>
      <c r="AA1033" s="116"/>
      <c r="AB1033" s="116"/>
      <c r="AC1033" s="116"/>
      <c r="AD1033" s="116"/>
      <c r="AE1033" s="116"/>
      <c r="AF1033" s="116"/>
      <c r="AG1033" s="116"/>
      <c r="AH1033" s="116"/>
    </row>
    <row r="1034" spans="19:34" x14ac:dyDescent="0.25">
      <c r="S1034" s="116"/>
      <c r="T1034" s="116"/>
      <c r="U1034" s="116"/>
      <c r="V1034" s="116"/>
      <c r="W1034" s="116"/>
      <c r="X1034" s="116"/>
      <c r="Y1034" s="116"/>
      <c r="Z1034" s="116"/>
      <c r="AA1034" s="116"/>
      <c r="AB1034" s="116"/>
      <c r="AC1034" s="116"/>
      <c r="AD1034" s="116"/>
      <c r="AE1034" s="116"/>
      <c r="AF1034" s="116"/>
      <c r="AG1034" s="116"/>
      <c r="AH1034" s="116"/>
    </row>
    <row r="1035" spans="19:34" x14ac:dyDescent="0.25">
      <c r="S1035" s="116"/>
      <c r="T1035" s="116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116"/>
      <c r="AE1035" s="116"/>
      <c r="AF1035" s="116"/>
      <c r="AG1035" s="116"/>
      <c r="AH1035" s="116"/>
    </row>
    <row r="1036" spans="19:34" x14ac:dyDescent="0.25">
      <c r="S1036" s="116"/>
      <c r="T1036" s="116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116"/>
      <c r="AE1036" s="116"/>
      <c r="AF1036" s="116"/>
      <c r="AG1036" s="116"/>
      <c r="AH1036" s="116"/>
    </row>
    <row r="1037" spans="19:34" x14ac:dyDescent="0.25">
      <c r="S1037" s="116"/>
      <c r="T1037" s="116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116"/>
      <c r="AH1037" s="116"/>
    </row>
    <row r="1038" spans="19:34" x14ac:dyDescent="0.25">
      <c r="S1038" s="116"/>
      <c r="T1038" s="116"/>
      <c r="U1038" s="129"/>
      <c r="V1038" s="116"/>
      <c r="W1038" s="116"/>
      <c r="X1038" s="116"/>
      <c r="Y1038" s="116"/>
      <c r="Z1038" s="116"/>
      <c r="AA1038" s="116"/>
      <c r="AB1038" s="116"/>
      <c r="AC1038" s="116"/>
      <c r="AD1038" s="116"/>
      <c r="AE1038" s="116"/>
      <c r="AF1038" s="116"/>
      <c r="AG1038" s="116"/>
      <c r="AH1038" s="116"/>
    </row>
    <row r="1039" spans="19:34" x14ac:dyDescent="0.25">
      <c r="S1039" s="116"/>
      <c r="T1039" s="116"/>
      <c r="U1039" s="129"/>
      <c r="V1039" s="116"/>
      <c r="W1039" s="116"/>
      <c r="X1039" s="116"/>
      <c r="Y1039" s="116"/>
      <c r="Z1039" s="116"/>
      <c r="AA1039" s="116"/>
      <c r="AB1039" s="116"/>
      <c r="AC1039" s="116"/>
      <c r="AD1039" s="116"/>
      <c r="AE1039" s="116"/>
      <c r="AF1039" s="116"/>
      <c r="AG1039" s="116"/>
      <c r="AH1039" s="116"/>
    </row>
    <row r="1040" spans="19:34" x14ac:dyDescent="0.25">
      <c r="S1040" s="116"/>
      <c r="T1040" s="116"/>
      <c r="U1040" s="116"/>
      <c r="V1040" s="116"/>
      <c r="W1040" s="116"/>
      <c r="X1040" s="116"/>
      <c r="Y1040" s="116"/>
      <c r="Z1040" s="116"/>
      <c r="AA1040" s="116"/>
      <c r="AB1040" s="116"/>
      <c r="AC1040" s="116"/>
      <c r="AD1040" s="116"/>
      <c r="AE1040" s="116"/>
      <c r="AF1040" s="116"/>
      <c r="AG1040" s="116"/>
      <c r="AH1040" s="116"/>
    </row>
    <row r="1041" spans="19:34" x14ac:dyDescent="0.25">
      <c r="S1041" s="116"/>
      <c r="T1041" s="116"/>
      <c r="U1041" s="116"/>
      <c r="V1041" s="116"/>
      <c r="W1041" s="116"/>
      <c r="X1041" s="116"/>
      <c r="Y1041" s="116"/>
      <c r="Z1041" s="116"/>
      <c r="AA1041" s="116"/>
      <c r="AB1041" s="116"/>
      <c r="AC1041" s="116"/>
      <c r="AD1041" s="116"/>
      <c r="AE1041" s="116"/>
      <c r="AF1041" s="116"/>
      <c r="AG1041" s="116"/>
      <c r="AH1041" s="116"/>
    </row>
    <row r="1042" spans="19:34" x14ac:dyDescent="0.25">
      <c r="S1042" s="116"/>
      <c r="T1042" s="116"/>
      <c r="U1042" s="116"/>
      <c r="V1042" s="116"/>
      <c r="W1042" s="116"/>
      <c r="X1042" s="116"/>
      <c r="Y1042" s="116"/>
      <c r="Z1042" s="116"/>
      <c r="AA1042" s="116"/>
      <c r="AB1042" s="116"/>
      <c r="AC1042" s="116"/>
      <c r="AD1042" s="116"/>
      <c r="AE1042" s="116"/>
      <c r="AF1042" s="116"/>
      <c r="AG1042" s="116"/>
      <c r="AH1042" s="116"/>
    </row>
    <row r="1043" spans="19:34" x14ac:dyDescent="0.25">
      <c r="S1043" s="116"/>
      <c r="T1043" s="116"/>
      <c r="U1043" s="116"/>
      <c r="V1043" s="116"/>
      <c r="W1043" s="116"/>
      <c r="X1043" s="116"/>
      <c r="Y1043" s="116"/>
      <c r="Z1043" s="116"/>
      <c r="AA1043" s="116"/>
      <c r="AB1043" s="116"/>
      <c r="AC1043" s="116"/>
      <c r="AD1043" s="116"/>
      <c r="AE1043" s="116"/>
      <c r="AF1043" s="116"/>
      <c r="AG1043" s="116"/>
      <c r="AH1043" s="116"/>
    </row>
    <row r="1044" spans="19:34" x14ac:dyDescent="0.25">
      <c r="S1044" s="116"/>
      <c r="T1044" s="116"/>
      <c r="U1044" s="116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  <c r="AG1044" s="179"/>
      <c r="AH1044" s="179"/>
    </row>
    <row r="1045" spans="19:34" x14ac:dyDescent="0.25">
      <c r="S1045" s="116"/>
      <c r="T1045" s="116"/>
      <c r="U1045" s="116"/>
      <c r="V1045" s="116"/>
      <c r="W1045" s="116"/>
      <c r="X1045" s="116"/>
      <c r="Y1045" s="180"/>
      <c r="Z1045" s="180"/>
      <c r="AA1045" s="180"/>
      <c r="AB1045" s="180"/>
      <c r="AC1045" s="180"/>
      <c r="AD1045" s="180"/>
      <c r="AE1045" s="180"/>
      <c r="AF1045" s="180"/>
      <c r="AG1045" s="180"/>
      <c r="AH1045" s="180"/>
    </row>
    <row r="1046" spans="19:34" x14ac:dyDescent="0.25">
      <c r="S1046" s="116"/>
      <c r="T1046" s="147"/>
      <c r="U1046" s="148"/>
      <c r="V1046" s="147"/>
      <c r="W1046" s="147"/>
      <c r="X1046" s="147"/>
      <c r="Y1046" s="149"/>
      <c r="Z1046" s="149"/>
      <c r="AA1046" s="149"/>
      <c r="AB1046" s="149"/>
      <c r="AC1046" s="149"/>
      <c r="AD1046" s="149"/>
      <c r="AE1046" s="149"/>
      <c r="AF1046" s="149"/>
      <c r="AG1046" s="149"/>
      <c r="AH1046" s="149"/>
    </row>
    <row r="1047" spans="19:34" x14ac:dyDescent="0.25">
      <c r="S1047" s="116"/>
      <c r="T1047" s="147"/>
      <c r="U1047" s="116"/>
      <c r="V1047" s="116"/>
      <c r="W1047" s="116"/>
      <c r="X1047" s="116"/>
      <c r="Y1047" s="147"/>
      <c r="Z1047" s="147"/>
      <c r="AA1047" s="147"/>
      <c r="AB1047" s="147"/>
      <c r="AC1047" s="147"/>
      <c r="AD1047" s="147"/>
      <c r="AE1047" s="147"/>
      <c r="AF1047" s="147"/>
      <c r="AG1047" s="147"/>
      <c r="AH1047" s="147"/>
    </row>
    <row r="1048" spans="19:34" x14ac:dyDescent="0.25">
      <c r="S1048" s="116"/>
      <c r="T1048" s="147"/>
      <c r="U1048" s="116"/>
      <c r="V1048" s="116"/>
      <c r="W1048" s="116"/>
      <c r="X1048" s="116"/>
      <c r="Y1048" s="147"/>
      <c r="Z1048" s="147"/>
      <c r="AA1048" s="147"/>
      <c r="AB1048" s="147"/>
      <c r="AC1048" s="147"/>
      <c r="AD1048" s="147"/>
      <c r="AE1048" s="147"/>
      <c r="AF1048" s="147"/>
      <c r="AG1048" s="147"/>
      <c r="AH1048" s="147"/>
    </row>
    <row r="1049" spans="19:34" x14ac:dyDescent="0.25">
      <c r="S1049" s="116"/>
      <c r="T1049" s="147"/>
      <c r="U1049" s="116"/>
      <c r="V1049" s="116"/>
      <c r="W1049" s="116"/>
      <c r="X1049" s="116"/>
      <c r="Y1049" s="147"/>
      <c r="Z1049" s="147"/>
      <c r="AA1049" s="147"/>
      <c r="AB1049" s="147"/>
      <c r="AC1049" s="147"/>
      <c r="AD1049" s="147"/>
      <c r="AE1049" s="147"/>
      <c r="AF1049" s="147"/>
      <c r="AG1049" s="147"/>
      <c r="AH1049" s="147"/>
    </row>
    <row r="1050" spans="19:34" x14ac:dyDescent="0.25">
      <c r="S1050" s="116"/>
      <c r="T1050" s="147"/>
      <c r="U1050" s="116"/>
      <c r="V1050" s="116"/>
      <c r="W1050" s="116"/>
      <c r="X1050" s="116"/>
      <c r="Y1050" s="147"/>
      <c r="Z1050" s="147"/>
      <c r="AA1050" s="147"/>
      <c r="AB1050" s="147"/>
      <c r="AC1050" s="147"/>
      <c r="AD1050" s="147"/>
      <c r="AE1050" s="147"/>
      <c r="AF1050" s="147"/>
      <c r="AG1050" s="147"/>
      <c r="AH1050" s="147"/>
    </row>
    <row r="1051" spans="19:34" x14ac:dyDescent="0.25">
      <c r="S1051" s="116"/>
      <c r="T1051" s="147"/>
      <c r="U1051" s="116"/>
      <c r="V1051" s="116"/>
      <c r="W1051" s="116"/>
      <c r="X1051" s="116"/>
      <c r="Y1051" s="147"/>
      <c r="Z1051" s="147"/>
      <c r="AA1051" s="147"/>
      <c r="AB1051" s="147"/>
      <c r="AC1051" s="147"/>
      <c r="AD1051" s="147"/>
      <c r="AE1051" s="147"/>
      <c r="AF1051" s="147"/>
      <c r="AG1051" s="147"/>
      <c r="AH1051" s="147"/>
    </row>
    <row r="1052" spans="19:34" x14ac:dyDescent="0.25">
      <c r="S1052" s="116"/>
      <c r="T1052" s="147"/>
      <c r="U1052" s="116"/>
      <c r="V1052" s="116"/>
      <c r="W1052" s="116"/>
      <c r="X1052" s="116"/>
      <c r="Y1052" s="147"/>
      <c r="Z1052" s="147"/>
      <c r="AA1052" s="147"/>
      <c r="AB1052" s="147"/>
      <c r="AC1052" s="147"/>
      <c r="AD1052" s="147"/>
      <c r="AE1052" s="147"/>
      <c r="AF1052" s="147"/>
      <c r="AG1052" s="147"/>
      <c r="AH1052" s="147"/>
    </row>
    <row r="1053" spans="19:34" x14ac:dyDescent="0.25">
      <c r="S1053" s="116"/>
      <c r="T1053" s="147"/>
      <c r="U1053" s="116"/>
      <c r="V1053" s="116"/>
      <c r="W1053" s="116"/>
      <c r="X1053" s="116"/>
      <c r="Y1053" s="147"/>
      <c r="Z1053" s="147"/>
      <c r="AA1053" s="147"/>
      <c r="AB1053" s="147"/>
      <c r="AC1053" s="147"/>
      <c r="AD1053" s="147"/>
      <c r="AE1053" s="147"/>
      <c r="AF1053" s="147"/>
      <c r="AG1053" s="147"/>
      <c r="AH1053" s="147"/>
    </row>
    <row r="1054" spans="19:34" x14ac:dyDescent="0.25">
      <c r="S1054" s="116"/>
      <c r="T1054" s="147"/>
      <c r="U1054" s="116"/>
      <c r="V1054" s="116"/>
      <c r="W1054" s="116"/>
      <c r="X1054" s="116"/>
      <c r="Y1054" s="147"/>
      <c r="Z1054" s="147"/>
      <c r="AA1054" s="147"/>
      <c r="AB1054" s="147"/>
      <c r="AC1054" s="147"/>
      <c r="AD1054" s="147"/>
      <c r="AE1054" s="147"/>
      <c r="AF1054" s="147"/>
      <c r="AG1054" s="147"/>
      <c r="AH1054" s="147"/>
    </row>
    <row r="1055" spans="19:34" x14ac:dyDescent="0.25">
      <c r="S1055" s="116"/>
      <c r="T1055" s="147"/>
      <c r="U1055" s="116"/>
      <c r="V1055" s="116"/>
      <c r="W1055" s="116"/>
      <c r="X1055" s="116"/>
      <c r="Y1055" s="147"/>
      <c r="Z1055" s="147"/>
      <c r="AA1055" s="147"/>
      <c r="AB1055" s="147"/>
      <c r="AC1055" s="147"/>
      <c r="AD1055" s="147"/>
      <c r="AE1055" s="147"/>
      <c r="AF1055" s="147"/>
      <c r="AG1055" s="147"/>
      <c r="AH1055" s="147"/>
    </row>
    <row r="1056" spans="19:34" x14ac:dyDescent="0.25">
      <c r="S1056" s="116"/>
      <c r="T1056" s="147"/>
      <c r="U1056" s="116"/>
      <c r="V1056" s="116"/>
      <c r="W1056" s="116"/>
      <c r="X1056" s="116"/>
      <c r="Y1056" s="147"/>
      <c r="Z1056" s="147"/>
      <c r="AA1056" s="147"/>
      <c r="AB1056" s="147"/>
      <c r="AC1056" s="147"/>
      <c r="AD1056" s="147"/>
      <c r="AE1056" s="147"/>
      <c r="AF1056" s="147"/>
      <c r="AG1056" s="147"/>
      <c r="AH1056" s="147"/>
    </row>
    <row r="1057" spans="19:34" x14ac:dyDescent="0.25">
      <c r="S1057" s="116"/>
      <c r="T1057" s="148"/>
      <c r="U1057" s="150"/>
      <c r="V1057" s="116"/>
      <c r="W1057" s="116"/>
      <c r="X1057" s="116"/>
      <c r="Y1057" s="147"/>
      <c r="Z1057" s="147"/>
      <c r="AA1057" s="147"/>
      <c r="AB1057" s="147"/>
      <c r="AC1057" s="147"/>
      <c r="AD1057" s="147"/>
      <c r="AE1057" s="147"/>
      <c r="AF1057" s="147"/>
      <c r="AG1057" s="147"/>
      <c r="AH1057" s="148"/>
    </row>
    <row r="1058" spans="19:34" x14ac:dyDescent="0.25">
      <c r="S1058" s="116"/>
      <c r="T1058" s="116"/>
      <c r="U1058" s="116"/>
      <c r="V1058" s="116"/>
      <c r="W1058" s="116"/>
      <c r="X1058" s="116"/>
      <c r="Y1058" s="116"/>
      <c r="Z1058" s="116"/>
      <c r="AA1058" s="116"/>
      <c r="AB1058" s="116"/>
      <c r="AC1058" s="116"/>
      <c r="AD1058" s="116"/>
      <c r="AE1058" s="116"/>
      <c r="AF1058" s="116"/>
      <c r="AG1058" s="116"/>
      <c r="AH1058" s="116"/>
    </row>
    <row r="1059" spans="19:34" x14ac:dyDescent="0.25">
      <c r="S1059" s="116"/>
      <c r="T1059" s="116"/>
      <c r="U1059" s="116"/>
      <c r="V1059" s="116"/>
      <c r="W1059" s="116"/>
      <c r="X1059" s="116"/>
      <c r="Y1059" s="116"/>
      <c r="Z1059" s="116"/>
      <c r="AA1059" s="116"/>
      <c r="AB1059" s="116"/>
      <c r="AC1059" s="116"/>
      <c r="AD1059" s="116"/>
      <c r="AE1059" s="116"/>
      <c r="AF1059" s="116"/>
      <c r="AG1059" s="116"/>
      <c r="AH1059" s="116"/>
    </row>
    <row r="1060" spans="19:34" x14ac:dyDescent="0.25">
      <c r="S1060" s="116"/>
      <c r="T1060" s="116"/>
      <c r="U1060" s="116"/>
      <c r="V1060" s="116"/>
      <c r="W1060" s="116"/>
      <c r="X1060" s="116"/>
      <c r="Y1060" s="116"/>
      <c r="Z1060" s="116"/>
      <c r="AA1060" s="116"/>
      <c r="AB1060" s="116"/>
      <c r="AC1060" s="116"/>
      <c r="AD1060" s="116"/>
      <c r="AE1060" s="116"/>
      <c r="AF1060" s="116"/>
      <c r="AG1060" s="116"/>
      <c r="AH1060" s="116"/>
    </row>
    <row r="1061" spans="19:34" x14ac:dyDescent="0.25">
      <c r="S1061" s="116"/>
      <c r="T1061" s="150"/>
      <c r="U1061" s="116"/>
      <c r="V1061" s="116"/>
      <c r="W1061" s="116"/>
      <c r="X1061" s="116"/>
      <c r="Y1061" s="116"/>
      <c r="Z1061" s="116"/>
      <c r="AA1061" s="116"/>
      <c r="AB1061" s="116"/>
      <c r="AC1061" s="116"/>
      <c r="AD1061" s="116"/>
      <c r="AE1061" s="116"/>
      <c r="AF1061" s="116"/>
      <c r="AG1061" s="116"/>
      <c r="AH1061" s="116"/>
    </row>
    <row r="1062" spans="19:34" x14ac:dyDescent="0.25">
      <c r="S1062" s="116"/>
      <c r="T1062" s="144"/>
      <c r="U1062" s="145"/>
      <c r="V1062" s="145"/>
      <c r="W1062" s="151"/>
      <c r="X1062" s="116"/>
      <c r="Y1062" s="116"/>
      <c r="Z1062" s="116"/>
      <c r="AA1062" s="116"/>
      <c r="AB1062" s="116"/>
      <c r="AC1062" s="116"/>
      <c r="AD1062" s="116"/>
      <c r="AE1062" s="116"/>
      <c r="AF1062" s="116"/>
      <c r="AG1062" s="116"/>
      <c r="AH1062" s="116"/>
    </row>
    <row r="1063" spans="19:34" x14ac:dyDescent="0.25">
      <c r="S1063" s="116"/>
      <c r="T1063" s="144"/>
      <c r="U1063" s="145"/>
      <c r="V1063" s="145"/>
      <c r="W1063" s="116"/>
      <c r="X1063" s="116"/>
      <c r="Y1063" s="116"/>
      <c r="Z1063" s="146"/>
      <c r="AA1063" s="116"/>
      <c r="AB1063" s="116"/>
      <c r="AC1063" s="116"/>
      <c r="AD1063" s="116"/>
      <c r="AE1063" s="116"/>
      <c r="AF1063" s="116"/>
      <c r="AG1063" s="116"/>
      <c r="AH1063" s="116"/>
    </row>
    <row r="1064" spans="19:34" x14ac:dyDescent="0.25">
      <c r="S1064" s="116"/>
      <c r="T1064" s="144"/>
      <c r="U1064" s="145"/>
      <c r="V1064" s="145"/>
      <c r="W1064" s="116"/>
      <c r="X1064" s="116"/>
      <c r="Y1064" s="116"/>
      <c r="Z1064" s="146"/>
      <c r="AA1064" s="116"/>
      <c r="AB1064" s="116"/>
      <c r="AC1064" s="116"/>
      <c r="AD1064" s="116"/>
      <c r="AE1064" s="116"/>
      <c r="AF1064" s="116"/>
      <c r="AG1064" s="116"/>
      <c r="AH1064" s="116"/>
    </row>
    <row r="1065" spans="19:34" x14ac:dyDescent="0.25">
      <c r="S1065" s="116"/>
      <c r="T1065" s="144"/>
      <c r="U1065" s="152"/>
      <c r="V1065" s="153"/>
      <c r="W1065" s="116"/>
      <c r="X1065" s="116"/>
      <c r="Y1065" s="116"/>
      <c r="Z1065" s="146"/>
      <c r="AA1065" s="116"/>
      <c r="AB1065" s="116"/>
      <c r="AC1065" s="116"/>
      <c r="AD1065" s="116"/>
      <c r="AE1065" s="116"/>
      <c r="AF1065" s="116"/>
      <c r="AG1065" s="116"/>
      <c r="AH1065" s="116"/>
    </row>
    <row r="1066" spans="19:34" x14ac:dyDescent="0.25">
      <c r="S1066" s="116"/>
      <c r="T1066" s="144"/>
      <c r="U1066" s="152"/>
      <c r="V1066" s="145"/>
      <c r="W1066" s="116"/>
      <c r="X1066" s="116"/>
      <c r="Y1066" s="116"/>
      <c r="Z1066" s="146"/>
      <c r="AA1066" s="116"/>
      <c r="AB1066" s="116"/>
      <c r="AC1066" s="116"/>
      <c r="AD1066" s="116"/>
      <c r="AE1066" s="116"/>
      <c r="AF1066" s="116"/>
      <c r="AG1066" s="116"/>
      <c r="AH1066" s="116"/>
    </row>
    <row r="1067" spans="19:34" x14ac:dyDescent="0.25">
      <c r="S1067" s="116"/>
      <c r="T1067" s="144"/>
      <c r="U1067" s="145"/>
      <c r="V1067" s="145"/>
      <c r="W1067" s="116"/>
      <c r="X1067" s="116"/>
      <c r="Y1067" s="116"/>
      <c r="Z1067" s="146"/>
      <c r="AA1067" s="116"/>
      <c r="AB1067" s="116"/>
      <c r="AC1067" s="116"/>
      <c r="AD1067" s="116"/>
      <c r="AE1067" s="116"/>
      <c r="AF1067" s="116"/>
      <c r="AG1067" s="116"/>
      <c r="AH1067" s="116"/>
    </row>
    <row r="1068" spans="19:34" x14ac:dyDescent="0.25">
      <c r="S1068" s="116"/>
      <c r="T1068" s="116"/>
      <c r="U1068" s="116"/>
      <c r="V1068" s="116"/>
      <c r="W1068" s="116"/>
      <c r="X1068" s="116"/>
      <c r="Y1068" s="116"/>
      <c r="Z1068" s="116"/>
      <c r="AA1068" s="116"/>
      <c r="AB1068" s="116"/>
      <c r="AC1068" s="116"/>
      <c r="AD1068" s="116"/>
      <c r="AE1068" s="116"/>
      <c r="AF1068" s="116"/>
      <c r="AG1068" s="116"/>
      <c r="AH1068" s="116"/>
    </row>
    <row r="1069" spans="19:34" x14ac:dyDescent="0.25">
      <c r="S1069" s="116"/>
      <c r="T1069" s="116"/>
      <c r="U1069" s="116"/>
      <c r="V1069" s="116"/>
      <c r="W1069" s="116"/>
      <c r="X1069" s="116"/>
      <c r="Y1069" s="116"/>
      <c r="Z1069" s="116"/>
      <c r="AA1069" s="116"/>
      <c r="AB1069" s="116"/>
      <c r="AC1069" s="116"/>
      <c r="AD1069" s="116"/>
      <c r="AE1069" s="116"/>
      <c r="AF1069" s="116"/>
      <c r="AG1069" s="116"/>
      <c r="AH1069" s="116"/>
    </row>
    <row r="1070" spans="19:34" x14ac:dyDescent="0.25">
      <c r="S1070" s="116"/>
      <c r="T1070" s="116"/>
      <c r="U1070" s="116"/>
      <c r="V1070" s="116"/>
      <c r="W1070" s="116"/>
      <c r="X1070" s="116"/>
      <c r="Y1070" s="116"/>
      <c r="Z1070" s="116"/>
      <c r="AA1070" s="116"/>
      <c r="AB1070" s="116"/>
      <c r="AC1070" s="116"/>
      <c r="AD1070" s="116"/>
      <c r="AE1070" s="116"/>
      <c r="AF1070" s="116"/>
      <c r="AG1070" s="116"/>
      <c r="AH1070" s="116"/>
    </row>
    <row r="1071" spans="19:34" x14ac:dyDescent="0.25">
      <c r="S1071" s="116"/>
      <c r="T1071" s="116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116"/>
      <c r="AE1071" s="116"/>
      <c r="AF1071" s="116"/>
      <c r="AG1071" s="116"/>
      <c r="AH1071" s="116"/>
    </row>
    <row r="1072" spans="19:34" x14ac:dyDescent="0.25">
      <c r="S1072" s="116"/>
      <c r="T1072" s="116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116"/>
      <c r="AE1072" s="116"/>
      <c r="AF1072" s="116"/>
      <c r="AG1072" s="116"/>
      <c r="AH1072" s="116"/>
    </row>
    <row r="1073" spans="19:34" x14ac:dyDescent="0.25">
      <c r="S1073" s="116"/>
      <c r="T1073" s="116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116"/>
      <c r="AE1073" s="116"/>
      <c r="AF1073" s="116"/>
      <c r="AG1073" s="116"/>
      <c r="AH1073" s="116"/>
    </row>
    <row r="1074" spans="19:34" x14ac:dyDescent="0.25">
      <c r="S1074" s="116"/>
      <c r="T1074" s="116"/>
      <c r="U1074" s="129"/>
      <c r="V1074" s="116"/>
      <c r="W1074" s="116"/>
      <c r="X1074" s="116"/>
      <c r="Y1074" s="116"/>
      <c r="Z1074" s="116"/>
      <c r="AA1074" s="116"/>
      <c r="AB1074" s="116"/>
      <c r="AC1074" s="116"/>
      <c r="AD1074" s="116"/>
      <c r="AE1074" s="116"/>
      <c r="AF1074" s="116"/>
      <c r="AG1074" s="116"/>
      <c r="AH1074" s="116"/>
    </row>
    <row r="1075" spans="19:34" x14ac:dyDescent="0.25">
      <c r="S1075" s="116"/>
      <c r="T1075" s="116"/>
      <c r="U1075" s="129"/>
      <c r="V1075" s="116"/>
      <c r="W1075" s="116"/>
      <c r="X1075" s="116"/>
      <c r="Y1075" s="116"/>
      <c r="Z1075" s="116"/>
      <c r="AA1075" s="116"/>
      <c r="AB1075" s="116"/>
      <c r="AC1075" s="116"/>
      <c r="AD1075" s="116"/>
      <c r="AE1075" s="116"/>
      <c r="AF1075" s="116"/>
      <c r="AG1075" s="116"/>
      <c r="AH1075" s="116"/>
    </row>
    <row r="1076" spans="19:34" x14ac:dyDescent="0.25">
      <c r="S1076" s="116"/>
      <c r="T1076" s="116"/>
      <c r="U1076" s="116"/>
      <c r="V1076" s="116"/>
      <c r="W1076" s="116"/>
      <c r="X1076" s="116"/>
      <c r="Y1076" s="116"/>
      <c r="Z1076" s="116"/>
      <c r="AA1076" s="116"/>
      <c r="AB1076" s="116"/>
      <c r="AC1076" s="116"/>
      <c r="AD1076" s="116"/>
      <c r="AE1076" s="116"/>
      <c r="AF1076" s="116"/>
      <c r="AG1076" s="116"/>
      <c r="AH1076" s="116"/>
    </row>
    <row r="1077" spans="19:34" x14ac:dyDescent="0.25">
      <c r="S1077" s="116"/>
      <c r="T1077" s="116"/>
      <c r="U1077" s="116"/>
      <c r="V1077" s="116"/>
      <c r="W1077" s="116"/>
      <c r="X1077" s="116"/>
      <c r="Y1077" s="116"/>
      <c r="Z1077" s="116"/>
      <c r="AA1077" s="116"/>
      <c r="AB1077" s="116"/>
      <c r="AC1077" s="116"/>
      <c r="AD1077" s="116"/>
      <c r="AE1077" s="116"/>
      <c r="AF1077" s="116"/>
      <c r="AG1077" s="116"/>
      <c r="AH1077" s="116"/>
    </row>
    <row r="1078" spans="19:34" x14ac:dyDescent="0.25">
      <c r="S1078" s="116"/>
      <c r="T1078" s="116"/>
      <c r="U1078" s="116"/>
      <c r="V1078" s="116"/>
      <c r="W1078" s="116"/>
      <c r="X1078" s="116"/>
      <c r="Y1078" s="116"/>
      <c r="Z1078" s="116"/>
      <c r="AA1078" s="116"/>
      <c r="AB1078" s="116"/>
      <c r="AC1078" s="116"/>
      <c r="AD1078" s="116"/>
      <c r="AE1078" s="116"/>
      <c r="AF1078" s="116"/>
      <c r="AG1078" s="116"/>
      <c r="AH1078" s="116"/>
    </row>
    <row r="1079" spans="19:34" x14ac:dyDescent="0.25">
      <c r="S1079" s="116"/>
      <c r="T1079" s="116"/>
      <c r="U1079" s="116"/>
      <c r="V1079" s="116"/>
      <c r="W1079" s="116"/>
      <c r="X1079" s="116"/>
      <c r="Y1079" s="116"/>
      <c r="Z1079" s="116"/>
      <c r="AA1079" s="116"/>
      <c r="AB1079" s="116"/>
      <c r="AC1079" s="116"/>
      <c r="AD1079" s="116"/>
      <c r="AE1079" s="116"/>
      <c r="AF1079" s="116"/>
      <c r="AG1079" s="116"/>
      <c r="AH1079" s="116"/>
    </row>
    <row r="1080" spans="19:34" x14ac:dyDescent="0.25">
      <c r="S1080" s="116"/>
      <c r="T1080" s="116"/>
      <c r="U1080" s="116"/>
      <c r="V1080" s="179"/>
      <c r="W1080" s="179"/>
      <c r="X1080" s="179"/>
      <c r="Y1080" s="179"/>
      <c r="Z1080" s="179"/>
      <c r="AA1080" s="179"/>
      <c r="AB1080" s="179"/>
      <c r="AC1080" s="179"/>
      <c r="AD1080" s="179"/>
      <c r="AE1080" s="179"/>
      <c r="AF1080" s="179"/>
      <c r="AG1080" s="179"/>
      <c r="AH1080" s="179"/>
    </row>
    <row r="1081" spans="19:34" x14ac:dyDescent="0.25">
      <c r="S1081" s="116"/>
      <c r="T1081" s="116"/>
      <c r="U1081" s="116"/>
      <c r="V1081" s="116"/>
      <c r="W1081" s="116"/>
      <c r="X1081" s="116"/>
      <c r="Y1081" s="180"/>
      <c r="Z1081" s="180"/>
      <c r="AA1081" s="180"/>
      <c r="AB1081" s="180"/>
      <c r="AC1081" s="180"/>
      <c r="AD1081" s="180"/>
      <c r="AE1081" s="180"/>
      <c r="AF1081" s="180"/>
      <c r="AG1081" s="180"/>
      <c r="AH1081" s="180"/>
    </row>
    <row r="1082" spans="19:34" x14ac:dyDescent="0.25">
      <c r="S1082" s="116"/>
      <c r="T1082" s="147"/>
      <c r="U1082" s="148"/>
      <c r="V1082" s="147"/>
      <c r="W1082" s="147"/>
      <c r="X1082" s="147"/>
      <c r="Y1082" s="149"/>
      <c r="Z1082" s="149"/>
      <c r="AA1082" s="149"/>
      <c r="AB1082" s="149"/>
      <c r="AC1082" s="149"/>
      <c r="AD1082" s="149"/>
      <c r="AE1082" s="149"/>
      <c r="AF1082" s="149"/>
      <c r="AG1082" s="149"/>
      <c r="AH1082" s="149"/>
    </row>
    <row r="1083" spans="19:34" x14ac:dyDescent="0.25">
      <c r="S1083" s="116"/>
      <c r="T1083" s="147"/>
      <c r="U1083" s="116"/>
      <c r="V1083" s="116"/>
      <c r="W1083" s="116"/>
      <c r="X1083" s="116"/>
      <c r="Y1083" s="147"/>
      <c r="Z1083" s="147"/>
      <c r="AA1083" s="147"/>
      <c r="AB1083" s="147"/>
      <c r="AC1083" s="147"/>
      <c r="AD1083" s="147"/>
      <c r="AE1083" s="147"/>
      <c r="AF1083" s="147"/>
      <c r="AG1083" s="147"/>
      <c r="AH1083" s="147"/>
    </row>
    <row r="1084" spans="19:34" x14ac:dyDescent="0.25">
      <c r="S1084" s="116"/>
      <c r="T1084" s="147"/>
      <c r="U1084" s="116"/>
      <c r="V1084" s="116"/>
      <c r="W1084" s="116"/>
      <c r="X1084" s="116"/>
      <c r="Y1084" s="147"/>
      <c r="Z1084" s="147"/>
      <c r="AA1084" s="147"/>
      <c r="AB1084" s="147"/>
      <c r="AC1084" s="147"/>
      <c r="AD1084" s="147"/>
      <c r="AE1084" s="147"/>
      <c r="AF1084" s="147"/>
      <c r="AG1084" s="147"/>
      <c r="AH1084" s="147"/>
    </row>
    <row r="1085" spans="19:34" x14ac:dyDescent="0.25">
      <c r="S1085" s="116"/>
      <c r="T1085" s="147"/>
      <c r="U1085" s="116"/>
      <c r="V1085" s="116"/>
      <c r="W1085" s="116"/>
      <c r="X1085" s="116"/>
      <c r="Y1085" s="147"/>
      <c r="Z1085" s="147"/>
      <c r="AA1085" s="147"/>
      <c r="AB1085" s="147"/>
      <c r="AC1085" s="147"/>
      <c r="AD1085" s="147"/>
      <c r="AE1085" s="147"/>
      <c r="AF1085" s="147"/>
      <c r="AG1085" s="147"/>
      <c r="AH1085" s="147"/>
    </row>
    <row r="1086" spans="19:34" x14ac:dyDescent="0.25">
      <c r="S1086" s="116"/>
      <c r="T1086" s="147"/>
      <c r="U1086" s="116"/>
      <c r="V1086" s="116"/>
      <c r="W1086" s="116"/>
      <c r="X1086" s="116"/>
      <c r="Y1086" s="147"/>
      <c r="Z1086" s="147"/>
      <c r="AA1086" s="147"/>
      <c r="AB1086" s="147"/>
      <c r="AC1086" s="147"/>
      <c r="AD1086" s="147"/>
      <c r="AE1086" s="147"/>
      <c r="AF1086" s="147"/>
      <c r="AG1086" s="147"/>
      <c r="AH1086" s="147"/>
    </row>
    <row r="1087" spans="19:34" x14ac:dyDescent="0.25">
      <c r="S1087" s="116"/>
      <c r="T1087" s="147"/>
      <c r="U1087" s="116"/>
      <c r="V1087" s="116"/>
      <c r="W1087" s="116"/>
      <c r="X1087" s="116"/>
      <c r="Y1087" s="147"/>
      <c r="Z1087" s="147"/>
      <c r="AA1087" s="147"/>
      <c r="AB1087" s="147"/>
      <c r="AC1087" s="147"/>
      <c r="AD1087" s="147"/>
      <c r="AE1087" s="147"/>
      <c r="AF1087" s="147"/>
      <c r="AG1087" s="147"/>
      <c r="AH1087" s="147"/>
    </row>
    <row r="1088" spans="19:34" x14ac:dyDescent="0.25">
      <c r="S1088" s="116"/>
      <c r="T1088" s="147"/>
      <c r="U1088" s="116"/>
      <c r="V1088" s="116"/>
      <c r="W1088" s="116"/>
      <c r="X1088" s="116"/>
      <c r="Y1088" s="147"/>
      <c r="Z1088" s="147"/>
      <c r="AA1088" s="147"/>
      <c r="AB1088" s="147"/>
      <c r="AC1088" s="147"/>
      <c r="AD1088" s="147"/>
      <c r="AE1088" s="147"/>
      <c r="AF1088" s="147"/>
      <c r="AG1088" s="147"/>
      <c r="AH1088" s="147"/>
    </row>
    <row r="1089" spans="19:34" x14ac:dyDescent="0.25">
      <c r="S1089" s="116"/>
      <c r="T1089" s="147"/>
      <c r="U1089" s="116"/>
      <c r="V1089" s="116"/>
      <c r="W1089" s="116"/>
      <c r="X1089" s="116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</row>
    <row r="1090" spans="19:34" x14ac:dyDescent="0.25">
      <c r="S1090" s="116"/>
      <c r="T1090" s="147"/>
      <c r="U1090" s="116"/>
      <c r="V1090" s="116"/>
      <c r="W1090" s="116"/>
      <c r="X1090" s="116"/>
      <c r="Y1090" s="147"/>
      <c r="Z1090" s="147"/>
      <c r="AA1090" s="147"/>
      <c r="AB1090" s="147"/>
      <c r="AC1090" s="147"/>
      <c r="AD1090" s="147"/>
      <c r="AE1090" s="147"/>
      <c r="AF1090" s="147"/>
      <c r="AG1090" s="147"/>
      <c r="AH1090" s="147"/>
    </row>
    <row r="1091" spans="19:34" x14ac:dyDescent="0.25">
      <c r="S1091" s="116"/>
      <c r="T1091" s="147"/>
      <c r="U1091" s="116"/>
      <c r="V1091" s="116"/>
      <c r="W1091" s="116"/>
      <c r="X1091" s="116"/>
      <c r="Y1091" s="147"/>
      <c r="Z1091" s="147"/>
      <c r="AA1091" s="147"/>
      <c r="AB1091" s="147"/>
      <c r="AC1091" s="147"/>
      <c r="AD1091" s="147"/>
      <c r="AE1091" s="147"/>
      <c r="AF1091" s="147"/>
      <c r="AG1091" s="147"/>
      <c r="AH1091" s="147"/>
    </row>
    <row r="1092" spans="19:34" x14ac:dyDescent="0.25">
      <c r="S1092" s="116"/>
      <c r="T1092" s="147"/>
      <c r="U1092" s="116"/>
      <c r="V1092" s="116"/>
      <c r="W1092" s="116"/>
      <c r="X1092" s="116"/>
      <c r="Y1092" s="147"/>
      <c r="Z1092" s="147"/>
      <c r="AA1092" s="147"/>
      <c r="AB1092" s="147"/>
      <c r="AC1092" s="147"/>
      <c r="AD1092" s="147"/>
      <c r="AE1092" s="147"/>
      <c r="AF1092" s="147"/>
      <c r="AG1092" s="147"/>
      <c r="AH1092" s="147"/>
    </row>
    <row r="1093" spans="19:34" x14ac:dyDescent="0.25">
      <c r="S1093" s="116"/>
      <c r="T1093" s="148"/>
      <c r="U1093" s="150"/>
      <c r="V1093" s="116"/>
      <c r="W1093" s="116"/>
      <c r="X1093" s="116"/>
      <c r="Y1093" s="147"/>
      <c r="Z1093" s="147"/>
      <c r="AA1093" s="147"/>
      <c r="AB1093" s="147"/>
      <c r="AC1093" s="147"/>
      <c r="AD1093" s="147"/>
      <c r="AE1093" s="147"/>
      <c r="AF1093" s="147"/>
      <c r="AG1093" s="147"/>
      <c r="AH1093" s="148"/>
    </row>
    <row r="1094" spans="19:34" x14ac:dyDescent="0.25">
      <c r="S1094" s="116"/>
      <c r="T1094" s="116"/>
      <c r="U1094" s="116"/>
      <c r="V1094" s="116"/>
      <c r="W1094" s="116"/>
      <c r="X1094" s="116"/>
      <c r="Y1094" s="116"/>
      <c r="Z1094" s="116"/>
      <c r="AA1094" s="116"/>
      <c r="AB1094" s="116"/>
      <c r="AC1094" s="116"/>
      <c r="AD1094" s="116"/>
      <c r="AE1094" s="116"/>
      <c r="AF1094" s="116"/>
      <c r="AG1094" s="116"/>
      <c r="AH1094" s="116"/>
    </row>
    <row r="1095" spans="19:34" x14ac:dyDescent="0.25">
      <c r="S1095" s="116"/>
      <c r="T1095" s="116"/>
      <c r="U1095" s="116"/>
      <c r="V1095" s="116"/>
      <c r="W1095" s="116"/>
      <c r="X1095" s="116"/>
      <c r="Y1095" s="116"/>
      <c r="Z1095" s="116"/>
      <c r="AA1095" s="116"/>
      <c r="AB1095" s="116"/>
      <c r="AC1095" s="116"/>
      <c r="AD1095" s="116"/>
      <c r="AE1095" s="116"/>
      <c r="AF1095" s="116"/>
      <c r="AG1095" s="116"/>
      <c r="AH1095" s="116"/>
    </row>
    <row r="1096" spans="19:34" x14ac:dyDescent="0.25">
      <c r="S1096" s="116"/>
      <c r="T1096" s="116"/>
      <c r="U1096" s="116"/>
      <c r="V1096" s="116"/>
      <c r="W1096" s="116"/>
      <c r="X1096" s="116"/>
      <c r="Y1096" s="116"/>
      <c r="Z1096" s="116"/>
      <c r="AA1096" s="116"/>
      <c r="AB1096" s="116"/>
      <c r="AC1096" s="116"/>
      <c r="AD1096" s="116"/>
      <c r="AE1096" s="116"/>
      <c r="AF1096" s="116"/>
      <c r="AG1096" s="116"/>
      <c r="AH1096" s="116"/>
    </row>
    <row r="1097" spans="19:34" x14ac:dyDescent="0.25">
      <c r="S1097" s="116"/>
      <c r="T1097" s="150"/>
      <c r="U1097" s="116"/>
      <c r="V1097" s="116"/>
      <c r="W1097" s="116"/>
      <c r="X1097" s="116"/>
      <c r="Y1097" s="116"/>
      <c r="Z1097" s="116"/>
      <c r="AA1097" s="116"/>
      <c r="AB1097" s="116"/>
      <c r="AC1097" s="116"/>
      <c r="AD1097" s="116"/>
      <c r="AE1097" s="116"/>
      <c r="AF1097" s="116"/>
      <c r="AG1097" s="116"/>
      <c r="AH1097" s="116"/>
    </row>
    <row r="1098" spans="19:34" x14ac:dyDescent="0.25">
      <c r="S1098" s="116"/>
      <c r="T1098" s="144"/>
      <c r="U1098" s="145"/>
      <c r="V1098" s="145"/>
      <c r="W1098" s="151"/>
      <c r="X1098" s="116"/>
      <c r="Y1098" s="116"/>
      <c r="Z1098" s="116"/>
      <c r="AA1098" s="116"/>
      <c r="AB1098" s="116"/>
      <c r="AC1098" s="116"/>
      <c r="AD1098" s="116"/>
      <c r="AE1098" s="116"/>
      <c r="AF1098" s="116"/>
      <c r="AG1098" s="116"/>
      <c r="AH1098" s="116"/>
    </row>
    <row r="1099" spans="19:34" x14ac:dyDescent="0.25">
      <c r="S1099" s="116"/>
      <c r="T1099" s="144"/>
      <c r="U1099" s="145"/>
      <c r="V1099" s="145"/>
      <c r="W1099" s="116"/>
      <c r="X1099" s="116"/>
      <c r="Y1099" s="116"/>
      <c r="Z1099" s="146"/>
      <c r="AA1099" s="116"/>
      <c r="AB1099" s="116"/>
      <c r="AC1099" s="116"/>
      <c r="AD1099" s="116"/>
      <c r="AE1099" s="116"/>
      <c r="AF1099" s="116"/>
      <c r="AG1099" s="116"/>
      <c r="AH1099" s="116"/>
    </row>
    <row r="1100" spans="19:34" x14ac:dyDescent="0.25">
      <c r="S1100" s="116"/>
      <c r="T1100" s="144"/>
      <c r="U1100" s="145"/>
      <c r="V1100" s="145"/>
      <c r="W1100" s="116"/>
      <c r="X1100" s="116"/>
      <c r="Y1100" s="116"/>
      <c r="Z1100" s="146"/>
      <c r="AA1100" s="116"/>
      <c r="AB1100" s="116"/>
      <c r="AC1100" s="116"/>
      <c r="AD1100" s="116"/>
      <c r="AE1100" s="116"/>
      <c r="AF1100" s="116"/>
      <c r="AG1100" s="116"/>
      <c r="AH1100" s="116"/>
    </row>
    <row r="1101" spans="19:34" x14ac:dyDescent="0.25">
      <c r="S1101" s="116"/>
      <c r="T1101" s="144"/>
      <c r="U1101" s="152"/>
      <c r="V1101" s="153"/>
      <c r="W1101" s="116"/>
      <c r="X1101" s="116"/>
      <c r="Y1101" s="116"/>
      <c r="Z1101" s="146"/>
      <c r="AA1101" s="116"/>
      <c r="AB1101" s="116"/>
      <c r="AC1101" s="116"/>
      <c r="AD1101" s="116"/>
      <c r="AE1101" s="116"/>
      <c r="AF1101" s="116"/>
      <c r="AG1101" s="116"/>
      <c r="AH1101" s="116"/>
    </row>
    <row r="1102" spans="19:34" x14ac:dyDescent="0.25">
      <c r="S1102" s="116"/>
      <c r="T1102" s="144"/>
      <c r="U1102" s="152"/>
      <c r="V1102" s="145"/>
      <c r="W1102" s="116"/>
      <c r="X1102" s="116"/>
      <c r="Y1102" s="116"/>
      <c r="Z1102" s="146"/>
      <c r="AA1102" s="116"/>
      <c r="AB1102" s="116"/>
      <c r="AC1102" s="116"/>
      <c r="AD1102" s="116"/>
      <c r="AE1102" s="116"/>
      <c r="AF1102" s="116"/>
      <c r="AG1102" s="116"/>
      <c r="AH1102" s="116"/>
    </row>
    <row r="1103" spans="19:34" x14ac:dyDescent="0.25">
      <c r="S1103" s="116"/>
      <c r="T1103" s="144"/>
      <c r="U1103" s="145"/>
      <c r="V1103" s="145"/>
      <c r="W1103" s="116"/>
      <c r="X1103" s="116"/>
      <c r="Y1103" s="116"/>
      <c r="Z1103" s="146"/>
      <c r="AA1103" s="116"/>
      <c r="AB1103" s="116"/>
      <c r="AC1103" s="116"/>
      <c r="AD1103" s="116"/>
      <c r="AE1103" s="116"/>
      <c r="AF1103" s="116"/>
      <c r="AG1103" s="116"/>
      <c r="AH1103" s="116"/>
    </row>
    <row r="1104" spans="19:34" x14ac:dyDescent="0.25">
      <c r="S1104" s="116"/>
      <c r="T1104" s="116"/>
      <c r="U1104" s="116"/>
      <c r="V1104" s="116"/>
      <c r="W1104" s="116"/>
      <c r="X1104" s="116"/>
      <c r="Y1104" s="116"/>
      <c r="Z1104" s="116"/>
      <c r="AA1104" s="116"/>
      <c r="AB1104" s="116"/>
      <c r="AC1104" s="116"/>
      <c r="AD1104" s="116"/>
      <c r="AE1104" s="116"/>
      <c r="AF1104" s="116"/>
      <c r="AG1104" s="116"/>
      <c r="AH1104" s="116"/>
    </row>
    <row r="1105" spans="19:34" x14ac:dyDescent="0.25">
      <c r="S1105" s="116"/>
      <c r="T1105" s="116"/>
      <c r="U1105" s="116"/>
      <c r="V1105" s="116"/>
      <c r="W1105" s="116"/>
      <c r="X1105" s="116"/>
      <c r="Y1105" s="116"/>
      <c r="Z1105" s="116"/>
      <c r="AA1105" s="116"/>
      <c r="AB1105" s="116"/>
      <c r="AC1105" s="116"/>
      <c r="AD1105" s="116"/>
      <c r="AE1105" s="116"/>
      <c r="AF1105" s="116"/>
      <c r="AG1105" s="116"/>
      <c r="AH1105" s="116"/>
    </row>
    <row r="1106" spans="19:34" x14ac:dyDescent="0.25">
      <c r="S1106" s="116"/>
      <c r="T1106" s="116"/>
      <c r="U1106" s="116"/>
      <c r="V1106" s="116"/>
      <c r="W1106" s="116"/>
      <c r="X1106" s="116"/>
      <c r="Y1106" s="116"/>
      <c r="Z1106" s="116"/>
      <c r="AA1106" s="116"/>
      <c r="AB1106" s="116"/>
      <c r="AC1106" s="116"/>
      <c r="AD1106" s="116"/>
      <c r="AE1106" s="116"/>
      <c r="AF1106" s="116"/>
      <c r="AG1106" s="116"/>
      <c r="AH1106" s="116"/>
    </row>
    <row r="1107" spans="19:34" x14ac:dyDescent="0.25">
      <c r="S1107" s="116"/>
      <c r="T1107" s="116"/>
      <c r="U1107" s="116"/>
      <c r="V1107" s="116"/>
      <c r="W1107" s="116"/>
      <c r="X1107" s="116"/>
      <c r="Y1107" s="116"/>
      <c r="Z1107" s="116"/>
      <c r="AA1107" s="116"/>
      <c r="AB1107" s="116"/>
      <c r="AC1107" s="116"/>
      <c r="AD1107" s="116"/>
      <c r="AE1107" s="116"/>
      <c r="AF1107" s="116"/>
      <c r="AG1107" s="116"/>
      <c r="AH1107" s="116"/>
    </row>
    <row r="1108" spans="19:34" x14ac:dyDescent="0.25">
      <c r="S1108" s="116"/>
      <c r="T1108" s="116"/>
      <c r="U1108" s="116"/>
      <c r="V1108" s="116"/>
      <c r="W1108" s="116"/>
      <c r="X1108" s="116"/>
      <c r="Y1108" s="116"/>
      <c r="Z1108" s="116"/>
      <c r="AA1108" s="116"/>
      <c r="AB1108" s="116"/>
      <c r="AC1108" s="116"/>
      <c r="AD1108" s="116"/>
      <c r="AE1108" s="116"/>
      <c r="AF1108" s="116"/>
      <c r="AG1108" s="116"/>
      <c r="AH1108" s="116"/>
    </row>
    <row r="1109" spans="19:34" x14ac:dyDescent="0.25">
      <c r="S1109" s="116"/>
      <c r="T1109" s="116"/>
      <c r="U1109" s="116"/>
      <c r="V1109" s="116"/>
      <c r="W1109" s="116"/>
      <c r="X1109" s="116"/>
      <c r="Y1109" s="116"/>
      <c r="Z1109" s="116"/>
      <c r="AA1109" s="116"/>
      <c r="AB1109" s="116"/>
      <c r="AC1109" s="116"/>
      <c r="AD1109" s="116"/>
      <c r="AE1109" s="116"/>
      <c r="AF1109" s="116"/>
      <c r="AG1109" s="116"/>
      <c r="AH1109" s="116"/>
    </row>
    <row r="1110" spans="19:34" x14ac:dyDescent="0.25">
      <c r="S1110" s="116"/>
      <c r="T1110" s="116"/>
      <c r="U1110" s="129"/>
      <c r="V1110" s="116"/>
      <c r="W1110" s="116"/>
      <c r="X1110" s="116"/>
      <c r="Y1110" s="116"/>
      <c r="Z1110" s="116"/>
      <c r="AA1110" s="116"/>
      <c r="AB1110" s="116"/>
      <c r="AC1110" s="116"/>
      <c r="AD1110" s="116"/>
      <c r="AE1110" s="116"/>
      <c r="AF1110" s="116"/>
      <c r="AG1110" s="116"/>
      <c r="AH1110" s="116"/>
    </row>
    <row r="1111" spans="19:34" x14ac:dyDescent="0.25">
      <c r="S1111" s="116"/>
      <c r="T1111" s="116"/>
      <c r="U1111" s="129"/>
      <c r="V1111" s="116"/>
      <c r="W1111" s="116"/>
      <c r="X1111" s="116"/>
      <c r="Y1111" s="116"/>
      <c r="Z1111" s="116"/>
      <c r="AA1111" s="116"/>
      <c r="AB1111" s="116"/>
      <c r="AC1111" s="116"/>
      <c r="AD1111" s="116"/>
      <c r="AE1111" s="116"/>
      <c r="AF1111" s="116"/>
      <c r="AG1111" s="116"/>
      <c r="AH1111" s="116"/>
    </row>
    <row r="1112" spans="19:34" x14ac:dyDescent="0.25">
      <c r="S1112" s="116"/>
      <c r="T1112" s="116"/>
      <c r="U1112" s="116"/>
      <c r="V1112" s="116"/>
      <c r="W1112" s="116"/>
      <c r="X1112" s="116"/>
      <c r="Y1112" s="116"/>
      <c r="Z1112" s="116"/>
      <c r="AA1112" s="116"/>
      <c r="AB1112" s="116"/>
      <c r="AC1112" s="116"/>
      <c r="AD1112" s="116"/>
      <c r="AE1112" s="116"/>
      <c r="AF1112" s="116"/>
      <c r="AG1112" s="116"/>
      <c r="AH1112" s="116"/>
    </row>
    <row r="1113" spans="19:34" x14ac:dyDescent="0.25">
      <c r="S1113" s="116"/>
      <c r="T1113" s="116"/>
      <c r="U1113" s="116"/>
      <c r="V1113" s="116"/>
      <c r="W1113" s="116"/>
      <c r="X1113" s="116"/>
      <c r="Y1113" s="116"/>
      <c r="Z1113" s="116"/>
      <c r="AA1113" s="116"/>
      <c r="AB1113" s="116"/>
      <c r="AC1113" s="116"/>
      <c r="AD1113" s="116"/>
      <c r="AE1113" s="116"/>
      <c r="AF1113" s="116"/>
      <c r="AG1113" s="116"/>
      <c r="AH1113" s="116"/>
    </row>
    <row r="1114" spans="19:34" x14ac:dyDescent="0.25">
      <c r="S1114" s="116"/>
      <c r="T1114" s="116"/>
      <c r="U1114" s="116"/>
      <c r="V1114" s="116"/>
      <c r="W1114" s="116"/>
      <c r="X1114" s="116"/>
      <c r="Y1114" s="116"/>
      <c r="Z1114" s="116"/>
      <c r="AA1114" s="116"/>
      <c r="AB1114" s="116"/>
      <c r="AC1114" s="116"/>
      <c r="AD1114" s="116"/>
      <c r="AE1114" s="116"/>
      <c r="AF1114" s="116"/>
      <c r="AG1114" s="116"/>
      <c r="AH1114" s="116"/>
    </row>
    <row r="1115" spans="19:34" x14ac:dyDescent="0.25">
      <c r="S1115" s="116"/>
      <c r="T1115" s="116"/>
      <c r="U1115" s="116"/>
      <c r="V1115" s="116"/>
      <c r="W1115" s="116"/>
      <c r="X1115" s="116"/>
      <c r="Y1115" s="116"/>
      <c r="Z1115" s="116"/>
      <c r="AA1115" s="116"/>
      <c r="AB1115" s="116"/>
      <c r="AC1115" s="116"/>
      <c r="AD1115" s="116"/>
      <c r="AE1115" s="116"/>
      <c r="AF1115" s="116"/>
      <c r="AG1115" s="116"/>
      <c r="AH1115" s="116"/>
    </row>
    <row r="1116" spans="19:34" x14ac:dyDescent="0.25">
      <c r="S1116" s="116"/>
      <c r="T1116" s="116"/>
      <c r="U1116" s="116"/>
      <c r="V1116" s="179"/>
      <c r="W1116" s="179"/>
      <c r="X1116" s="179"/>
      <c r="Y1116" s="179"/>
      <c r="Z1116" s="179"/>
      <c r="AA1116" s="179"/>
      <c r="AB1116" s="179"/>
      <c r="AC1116" s="179"/>
      <c r="AD1116" s="179"/>
      <c r="AE1116" s="179"/>
      <c r="AF1116" s="179"/>
      <c r="AG1116" s="179"/>
      <c r="AH1116" s="179"/>
    </row>
    <row r="1117" spans="19:34" x14ac:dyDescent="0.25">
      <c r="S1117" s="116"/>
      <c r="T1117" s="116"/>
      <c r="U1117" s="116"/>
      <c r="V1117" s="116"/>
      <c r="W1117" s="116"/>
      <c r="X1117" s="116"/>
      <c r="Y1117" s="180"/>
      <c r="Z1117" s="180"/>
      <c r="AA1117" s="180"/>
      <c r="AB1117" s="180"/>
      <c r="AC1117" s="180"/>
      <c r="AD1117" s="180"/>
      <c r="AE1117" s="180"/>
      <c r="AF1117" s="180"/>
      <c r="AG1117" s="180"/>
      <c r="AH1117" s="180"/>
    </row>
    <row r="1118" spans="19:34" x14ac:dyDescent="0.25">
      <c r="S1118" s="116"/>
      <c r="T1118" s="147"/>
      <c r="U1118" s="148"/>
      <c r="V1118" s="147"/>
      <c r="W1118" s="147"/>
      <c r="X1118" s="147"/>
      <c r="Y1118" s="149"/>
      <c r="Z1118" s="149"/>
      <c r="AA1118" s="149"/>
      <c r="AB1118" s="149"/>
      <c r="AC1118" s="149"/>
      <c r="AD1118" s="149"/>
      <c r="AE1118" s="149"/>
      <c r="AF1118" s="149"/>
      <c r="AG1118" s="149"/>
      <c r="AH1118" s="149"/>
    </row>
    <row r="1119" spans="19:34" x14ac:dyDescent="0.25">
      <c r="S1119" s="116"/>
      <c r="T1119" s="147"/>
      <c r="U1119" s="116"/>
      <c r="V1119" s="116"/>
      <c r="W1119" s="116"/>
      <c r="X1119" s="116"/>
      <c r="Y1119" s="147"/>
      <c r="Z1119" s="147"/>
      <c r="AA1119" s="147"/>
      <c r="AB1119" s="147"/>
      <c r="AC1119" s="147"/>
      <c r="AD1119" s="147"/>
      <c r="AE1119" s="147"/>
      <c r="AF1119" s="147"/>
      <c r="AG1119" s="147"/>
      <c r="AH1119" s="147"/>
    </row>
    <row r="1120" spans="19:34" x14ac:dyDescent="0.25">
      <c r="S1120" s="116"/>
      <c r="T1120" s="147"/>
      <c r="U1120" s="116"/>
      <c r="V1120" s="116"/>
      <c r="W1120" s="116"/>
      <c r="X1120" s="116"/>
      <c r="Y1120" s="147"/>
      <c r="Z1120" s="147"/>
      <c r="AA1120" s="147"/>
      <c r="AB1120" s="147"/>
      <c r="AC1120" s="147"/>
      <c r="AD1120" s="147"/>
      <c r="AE1120" s="147"/>
      <c r="AF1120" s="147"/>
      <c r="AG1120" s="147"/>
      <c r="AH1120" s="147"/>
    </row>
    <row r="1121" spans="19:34" x14ac:dyDescent="0.25">
      <c r="S1121" s="116"/>
      <c r="T1121" s="147"/>
      <c r="U1121" s="116"/>
      <c r="V1121" s="116"/>
      <c r="W1121" s="116"/>
      <c r="X1121" s="116"/>
      <c r="Y1121" s="147"/>
      <c r="Z1121" s="147"/>
      <c r="AA1121" s="147"/>
      <c r="AB1121" s="147"/>
      <c r="AC1121" s="147"/>
      <c r="AD1121" s="147"/>
      <c r="AE1121" s="147"/>
      <c r="AF1121" s="147"/>
      <c r="AG1121" s="147"/>
      <c r="AH1121" s="147"/>
    </row>
    <row r="1122" spans="19:34" x14ac:dyDescent="0.25">
      <c r="S1122" s="116"/>
      <c r="T1122" s="147"/>
      <c r="U1122" s="116"/>
      <c r="V1122" s="116"/>
      <c r="W1122" s="116"/>
      <c r="X1122" s="116"/>
      <c r="Y1122" s="147"/>
      <c r="Z1122" s="147"/>
      <c r="AA1122" s="147"/>
      <c r="AB1122" s="147"/>
      <c r="AC1122" s="147"/>
      <c r="AD1122" s="147"/>
      <c r="AE1122" s="147"/>
      <c r="AF1122" s="147"/>
      <c r="AG1122" s="147"/>
      <c r="AH1122" s="147"/>
    </row>
    <row r="1123" spans="19:34" x14ac:dyDescent="0.25">
      <c r="S1123" s="116"/>
      <c r="T1123" s="147"/>
      <c r="U1123" s="116"/>
      <c r="V1123" s="116"/>
      <c r="W1123" s="116"/>
      <c r="X1123" s="116"/>
      <c r="Y1123" s="147"/>
      <c r="Z1123" s="147"/>
      <c r="AA1123" s="147"/>
      <c r="AB1123" s="147"/>
      <c r="AC1123" s="147"/>
      <c r="AD1123" s="147"/>
      <c r="AE1123" s="147"/>
      <c r="AF1123" s="147"/>
      <c r="AG1123" s="147"/>
      <c r="AH1123" s="147"/>
    </row>
    <row r="1124" spans="19:34" x14ac:dyDescent="0.25">
      <c r="S1124" s="116"/>
      <c r="T1124" s="147"/>
      <c r="U1124" s="116"/>
      <c r="V1124" s="116"/>
      <c r="W1124" s="116"/>
      <c r="X1124" s="116"/>
      <c r="Y1124" s="147"/>
      <c r="Z1124" s="147"/>
      <c r="AA1124" s="147"/>
      <c r="AB1124" s="147"/>
      <c r="AC1124" s="147"/>
      <c r="AD1124" s="147"/>
      <c r="AE1124" s="147"/>
      <c r="AF1124" s="147"/>
      <c r="AG1124" s="147"/>
      <c r="AH1124" s="147"/>
    </row>
    <row r="1125" spans="19:34" x14ac:dyDescent="0.25">
      <c r="S1125" s="116"/>
      <c r="T1125" s="147"/>
      <c r="U1125" s="116"/>
      <c r="V1125" s="116"/>
      <c r="W1125" s="116"/>
      <c r="X1125" s="116"/>
      <c r="Y1125" s="147"/>
      <c r="Z1125" s="147"/>
      <c r="AA1125" s="147"/>
      <c r="AB1125" s="147"/>
      <c r="AC1125" s="147"/>
      <c r="AD1125" s="147"/>
      <c r="AE1125" s="147"/>
      <c r="AF1125" s="147"/>
      <c r="AG1125" s="147"/>
      <c r="AH1125" s="147"/>
    </row>
    <row r="1126" spans="19:34" x14ac:dyDescent="0.25">
      <c r="S1126" s="116"/>
      <c r="T1126" s="147"/>
      <c r="U1126" s="116"/>
      <c r="V1126" s="116"/>
      <c r="W1126" s="116"/>
      <c r="X1126" s="116"/>
      <c r="Y1126" s="147"/>
      <c r="Z1126" s="147"/>
      <c r="AA1126" s="147"/>
      <c r="AB1126" s="147"/>
      <c r="AC1126" s="147"/>
      <c r="AD1126" s="147"/>
      <c r="AE1126" s="147"/>
      <c r="AF1126" s="147"/>
      <c r="AG1126" s="147"/>
      <c r="AH1126" s="147"/>
    </row>
    <row r="1127" spans="19:34" x14ac:dyDescent="0.25">
      <c r="S1127" s="116"/>
      <c r="T1127" s="147"/>
      <c r="U1127" s="116"/>
      <c r="V1127" s="116"/>
      <c r="W1127" s="116"/>
      <c r="X1127" s="116"/>
      <c r="Y1127" s="147"/>
      <c r="Z1127" s="147"/>
      <c r="AA1127" s="147"/>
      <c r="AB1127" s="147"/>
      <c r="AC1127" s="147"/>
      <c r="AD1127" s="147"/>
      <c r="AE1127" s="147"/>
      <c r="AF1127" s="147"/>
      <c r="AG1127" s="147"/>
      <c r="AH1127" s="147"/>
    </row>
    <row r="1128" spans="19:34" x14ac:dyDescent="0.25">
      <c r="S1128" s="116"/>
      <c r="T1128" s="147"/>
      <c r="U1128" s="116"/>
      <c r="V1128" s="116"/>
      <c r="W1128" s="116"/>
      <c r="X1128" s="116"/>
      <c r="Y1128" s="147"/>
      <c r="Z1128" s="147"/>
      <c r="AA1128" s="147"/>
      <c r="AB1128" s="147"/>
      <c r="AC1128" s="147"/>
      <c r="AD1128" s="147"/>
      <c r="AE1128" s="147"/>
      <c r="AF1128" s="147"/>
      <c r="AG1128" s="147"/>
      <c r="AH1128" s="147"/>
    </row>
    <row r="1129" spans="19:34" x14ac:dyDescent="0.25">
      <c r="S1129" s="116"/>
      <c r="T1129" s="148"/>
      <c r="U1129" s="150"/>
      <c r="V1129" s="116"/>
      <c r="W1129" s="116"/>
      <c r="X1129" s="116"/>
      <c r="Y1129" s="147"/>
      <c r="Z1129" s="147"/>
      <c r="AA1129" s="147"/>
      <c r="AB1129" s="147"/>
      <c r="AC1129" s="147"/>
      <c r="AD1129" s="147"/>
      <c r="AE1129" s="147"/>
      <c r="AF1129" s="147"/>
      <c r="AG1129" s="147"/>
      <c r="AH1129" s="148"/>
    </row>
    <row r="1130" spans="19:34" x14ac:dyDescent="0.25">
      <c r="S1130" s="116"/>
      <c r="T1130" s="116"/>
      <c r="U1130" s="116"/>
      <c r="V1130" s="116"/>
      <c r="W1130" s="116"/>
      <c r="X1130" s="116"/>
      <c r="Y1130" s="116"/>
      <c r="Z1130" s="116"/>
      <c r="AA1130" s="116"/>
      <c r="AB1130" s="116"/>
      <c r="AC1130" s="116"/>
      <c r="AD1130" s="116"/>
      <c r="AE1130" s="116"/>
      <c r="AF1130" s="116"/>
      <c r="AG1130" s="116"/>
      <c r="AH1130" s="116"/>
    </row>
    <row r="1131" spans="19:34" x14ac:dyDescent="0.25">
      <c r="S1131" s="116"/>
      <c r="T1131" s="116"/>
      <c r="U1131" s="116"/>
      <c r="V1131" s="116"/>
      <c r="W1131" s="116"/>
      <c r="X1131" s="116"/>
      <c r="Y1131" s="116"/>
      <c r="Z1131" s="116"/>
      <c r="AA1131" s="116"/>
      <c r="AB1131" s="116"/>
      <c r="AC1131" s="116"/>
      <c r="AD1131" s="116"/>
      <c r="AE1131" s="116"/>
      <c r="AF1131" s="116"/>
      <c r="AG1131" s="116"/>
      <c r="AH1131" s="116"/>
    </row>
    <row r="1132" spans="19:34" x14ac:dyDescent="0.25">
      <c r="S1132" s="116"/>
      <c r="T1132" s="116"/>
      <c r="U1132" s="116"/>
      <c r="V1132" s="116"/>
      <c r="W1132" s="116"/>
      <c r="X1132" s="116"/>
      <c r="Y1132" s="116"/>
      <c r="Z1132" s="116"/>
      <c r="AA1132" s="116"/>
      <c r="AB1132" s="116"/>
      <c r="AC1132" s="116"/>
      <c r="AD1132" s="116"/>
      <c r="AE1132" s="116"/>
      <c r="AF1132" s="116"/>
      <c r="AG1132" s="116"/>
      <c r="AH1132" s="116"/>
    </row>
    <row r="1133" spans="19:34" x14ac:dyDescent="0.25">
      <c r="S1133" s="116"/>
      <c r="T1133" s="150"/>
      <c r="U1133" s="116"/>
      <c r="V1133" s="116"/>
      <c r="W1133" s="116"/>
      <c r="X1133" s="116"/>
      <c r="Y1133" s="116"/>
      <c r="Z1133" s="116"/>
      <c r="AA1133" s="116"/>
      <c r="AB1133" s="116"/>
      <c r="AC1133" s="116"/>
      <c r="AD1133" s="116"/>
      <c r="AE1133" s="116"/>
      <c r="AF1133" s="116"/>
      <c r="AG1133" s="116"/>
      <c r="AH1133" s="116"/>
    </row>
    <row r="1134" spans="19:34" x14ac:dyDescent="0.25">
      <c r="S1134" s="116"/>
      <c r="T1134" s="144"/>
      <c r="U1134" s="145"/>
      <c r="V1134" s="145"/>
      <c r="W1134" s="151"/>
      <c r="X1134" s="116"/>
      <c r="Y1134" s="116"/>
      <c r="Z1134" s="116"/>
      <c r="AA1134" s="116"/>
      <c r="AB1134" s="116"/>
      <c r="AC1134" s="116"/>
      <c r="AD1134" s="116"/>
      <c r="AE1134" s="116"/>
      <c r="AF1134" s="116"/>
      <c r="AG1134" s="116"/>
      <c r="AH1134" s="116"/>
    </row>
    <row r="1135" spans="19:34" x14ac:dyDescent="0.25">
      <c r="S1135" s="116"/>
      <c r="T1135" s="144"/>
      <c r="U1135" s="145"/>
      <c r="V1135" s="145"/>
      <c r="W1135" s="116"/>
      <c r="X1135" s="116"/>
      <c r="Y1135" s="116"/>
      <c r="Z1135" s="146"/>
      <c r="AA1135" s="116"/>
      <c r="AB1135" s="116"/>
      <c r="AC1135" s="116"/>
      <c r="AD1135" s="116"/>
      <c r="AE1135" s="116"/>
      <c r="AF1135" s="116"/>
      <c r="AG1135" s="116"/>
      <c r="AH1135" s="116"/>
    </row>
    <row r="1136" spans="19:34" x14ac:dyDescent="0.25">
      <c r="S1136" s="116"/>
      <c r="T1136" s="144"/>
      <c r="U1136" s="145"/>
      <c r="V1136" s="145"/>
      <c r="W1136" s="116"/>
      <c r="X1136" s="116"/>
      <c r="Y1136" s="116"/>
      <c r="Z1136" s="146"/>
      <c r="AA1136" s="116"/>
      <c r="AB1136" s="116"/>
      <c r="AC1136" s="116"/>
      <c r="AD1136" s="116"/>
      <c r="AE1136" s="116"/>
      <c r="AF1136" s="116"/>
      <c r="AG1136" s="116"/>
      <c r="AH1136" s="116"/>
    </row>
    <row r="1137" spans="19:34" x14ac:dyDescent="0.25">
      <c r="S1137" s="116"/>
      <c r="T1137" s="144"/>
      <c r="U1137" s="152"/>
      <c r="V1137" s="153"/>
      <c r="W1137" s="116"/>
      <c r="X1137" s="116"/>
      <c r="Y1137" s="116"/>
      <c r="Z1137" s="146"/>
      <c r="AA1137" s="116"/>
      <c r="AB1137" s="116"/>
      <c r="AC1137" s="116"/>
      <c r="AD1137" s="116"/>
      <c r="AE1137" s="116"/>
      <c r="AF1137" s="116"/>
      <c r="AG1137" s="116"/>
      <c r="AH1137" s="116"/>
    </row>
    <row r="1138" spans="19:34" x14ac:dyDescent="0.25">
      <c r="S1138" s="116"/>
      <c r="T1138" s="144"/>
      <c r="U1138" s="152"/>
      <c r="V1138" s="145"/>
      <c r="W1138" s="116"/>
      <c r="X1138" s="116"/>
      <c r="Y1138" s="116"/>
      <c r="Z1138" s="146"/>
      <c r="AA1138" s="116"/>
      <c r="AB1138" s="116"/>
      <c r="AC1138" s="116"/>
      <c r="AD1138" s="116"/>
      <c r="AE1138" s="116"/>
      <c r="AF1138" s="116"/>
      <c r="AG1138" s="116"/>
      <c r="AH1138" s="116"/>
    </row>
    <row r="1139" spans="19:34" x14ac:dyDescent="0.25">
      <c r="S1139" s="116"/>
      <c r="T1139" s="144"/>
      <c r="U1139" s="145"/>
      <c r="V1139" s="145"/>
      <c r="W1139" s="116"/>
      <c r="X1139" s="116"/>
      <c r="Y1139" s="116"/>
      <c r="Z1139" s="146"/>
      <c r="AA1139" s="116"/>
      <c r="AB1139" s="116"/>
      <c r="AC1139" s="116"/>
      <c r="AD1139" s="116"/>
      <c r="AE1139" s="116"/>
      <c r="AF1139" s="116"/>
      <c r="AG1139" s="116"/>
      <c r="AH1139" s="116"/>
    </row>
    <row r="1140" spans="19:34" x14ac:dyDescent="0.25">
      <c r="S1140" s="116"/>
      <c r="T1140" s="116"/>
      <c r="U1140" s="116"/>
      <c r="V1140" s="116"/>
      <c r="W1140" s="116"/>
      <c r="X1140" s="116"/>
      <c r="Y1140" s="116"/>
      <c r="Z1140" s="116"/>
      <c r="AA1140" s="116"/>
      <c r="AB1140" s="116"/>
      <c r="AC1140" s="116"/>
      <c r="AD1140" s="116"/>
      <c r="AE1140" s="116"/>
      <c r="AF1140" s="116"/>
      <c r="AG1140" s="116"/>
      <c r="AH1140" s="116"/>
    </row>
    <row r="1141" spans="19:34" x14ac:dyDescent="0.25">
      <c r="S1141" s="116"/>
      <c r="T1141" s="116"/>
      <c r="U1141" s="116"/>
      <c r="V1141" s="116"/>
      <c r="W1141" s="116"/>
      <c r="X1141" s="116"/>
      <c r="Y1141" s="116"/>
      <c r="Z1141" s="116"/>
      <c r="AA1141" s="116"/>
      <c r="AB1141" s="116"/>
      <c r="AC1141" s="116"/>
      <c r="AD1141" s="116"/>
      <c r="AE1141" s="116"/>
      <c r="AF1141" s="116"/>
      <c r="AG1141" s="116"/>
      <c r="AH1141" s="116"/>
    </row>
    <row r="1142" spans="19:34" x14ac:dyDescent="0.25">
      <c r="S1142" s="116"/>
      <c r="T1142" s="116"/>
      <c r="U1142" s="116"/>
      <c r="V1142" s="116"/>
      <c r="W1142" s="116"/>
      <c r="X1142" s="116"/>
      <c r="Y1142" s="116"/>
      <c r="Z1142" s="116"/>
      <c r="AA1142" s="116"/>
      <c r="AB1142" s="116"/>
      <c r="AC1142" s="116"/>
      <c r="AD1142" s="116"/>
      <c r="AE1142" s="116"/>
      <c r="AF1142" s="116"/>
      <c r="AG1142" s="116"/>
      <c r="AH1142" s="116"/>
    </row>
    <row r="1143" spans="19:34" x14ac:dyDescent="0.25">
      <c r="S1143" s="116"/>
      <c r="T1143" s="116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116"/>
      <c r="AE1143" s="116"/>
      <c r="AF1143" s="116"/>
      <c r="AG1143" s="116"/>
      <c r="AH1143" s="116"/>
    </row>
    <row r="1144" spans="19:34" x14ac:dyDescent="0.25">
      <c r="S1144" s="116"/>
      <c r="T1144" s="116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116"/>
      <c r="AE1144" s="116"/>
      <c r="AF1144" s="116"/>
      <c r="AG1144" s="116"/>
      <c r="AH1144" s="116"/>
    </row>
    <row r="1145" spans="19:34" x14ac:dyDescent="0.25">
      <c r="S1145" s="116"/>
      <c r="T1145" s="116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116"/>
      <c r="AE1145" s="116"/>
      <c r="AF1145" s="116"/>
      <c r="AG1145" s="116"/>
      <c r="AH1145" s="116"/>
    </row>
    <row r="1146" spans="19:34" x14ac:dyDescent="0.25">
      <c r="S1146" s="116"/>
      <c r="T1146" s="116"/>
      <c r="U1146" s="129"/>
      <c r="V1146" s="116"/>
      <c r="W1146" s="116"/>
      <c r="X1146" s="116"/>
      <c r="Y1146" s="116"/>
      <c r="Z1146" s="116"/>
      <c r="AA1146" s="116"/>
      <c r="AB1146" s="116"/>
      <c r="AC1146" s="116"/>
      <c r="AD1146" s="116"/>
      <c r="AE1146" s="116"/>
      <c r="AF1146" s="116"/>
      <c r="AG1146" s="116"/>
      <c r="AH1146" s="116"/>
    </row>
    <row r="1147" spans="19:34" x14ac:dyDescent="0.25">
      <c r="S1147" s="116"/>
      <c r="T1147" s="116"/>
      <c r="U1147" s="129"/>
      <c r="V1147" s="116"/>
      <c r="W1147" s="116"/>
      <c r="X1147" s="116"/>
      <c r="Y1147" s="116"/>
      <c r="Z1147" s="116"/>
      <c r="AA1147" s="116"/>
      <c r="AB1147" s="116"/>
      <c r="AC1147" s="116"/>
      <c r="AD1147" s="116"/>
      <c r="AE1147" s="116"/>
      <c r="AF1147" s="116"/>
      <c r="AG1147" s="116"/>
      <c r="AH1147" s="116"/>
    </row>
    <row r="1148" spans="19:34" x14ac:dyDescent="0.25">
      <c r="S1148" s="116"/>
      <c r="T1148" s="116"/>
      <c r="U1148" s="116"/>
      <c r="V1148" s="116"/>
      <c r="W1148" s="116"/>
      <c r="X1148" s="116"/>
      <c r="Y1148" s="116"/>
      <c r="Z1148" s="116"/>
      <c r="AA1148" s="116"/>
      <c r="AB1148" s="116"/>
      <c r="AC1148" s="116"/>
      <c r="AD1148" s="116"/>
      <c r="AE1148" s="116"/>
      <c r="AF1148" s="116"/>
      <c r="AG1148" s="116"/>
      <c r="AH1148" s="116"/>
    </row>
    <row r="1149" spans="19:34" x14ac:dyDescent="0.25">
      <c r="T1149" s="116"/>
      <c r="U1149" s="116"/>
      <c r="V1149" s="116"/>
      <c r="W1149" s="116"/>
      <c r="X1149" s="116"/>
      <c r="Y1149" s="116"/>
      <c r="Z1149" s="116"/>
      <c r="AA1149" s="116"/>
      <c r="AB1149" s="116"/>
      <c r="AC1149" s="116"/>
      <c r="AD1149" s="116"/>
      <c r="AE1149" s="116"/>
      <c r="AF1149" s="116"/>
      <c r="AG1149" s="116"/>
      <c r="AH1149" s="116"/>
    </row>
    <row r="1150" spans="19:34" x14ac:dyDescent="0.25">
      <c r="T1150" s="116"/>
      <c r="U1150" s="116"/>
      <c r="V1150" s="116"/>
      <c r="W1150" s="116"/>
      <c r="X1150" s="116"/>
      <c r="Y1150" s="116"/>
      <c r="Z1150" s="116"/>
      <c r="AA1150" s="116"/>
      <c r="AB1150" s="116"/>
      <c r="AC1150" s="116"/>
      <c r="AD1150" s="116"/>
      <c r="AE1150" s="116"/>
      <c r="AF1150" s="116"/>
      <c r="AG1150" s="116"/>
      <c r="AH1150" s="116"/>
    </row>
    <row r="1151" spans="19:34" x14ac:dyDescent="0.25">
      <c r="T1151" s="116"/>
      <c r="U1151" s="116"/>
      <c r="V1151" s="116"/>
      <c r="W1151" s="116"/>
      <c r="X1151" s="116"/>
      <c r="Y1151" s="116"/>
      <c r="Z1151" s="116"/>
      <c r="AA1151" s="116"/>
      <c r="AB1151" s="116"/>
      <c r="AC1151" s="116"/>
      <c r="AD1151" s="116"/>
      <c r="AE1151" s="116"/>
      <c r="AF1151" s="116"/>
      <c r="AG1151" s="116"/>
      <c r="AH1151" s="116"/>
    </row>
  </sheetData>
  <mergeCells count="101">
    <mergeCell ref="Y1045:AH1045"/>
    <mergeCell ref="V1080:AH1080"/>
    <mergeCell ref="Y1081:AH1081"/>
    <mergeCell ref="V1116:AH1116"/>
    <mergeCell ref="Y1117:AH1117"/>
    <mergeCell ref="Y938:AH938"/>
    <mergeCell ref="V969:AH969"/>
    <mergeCell ref="Y970:AH970"/>
    <mergeCell ref="V1008:AH1008"/>
    <mergeCell ref="Y1009:AH1009"/>
    <mergeCell ref="V1044:AH1044"/>
    <mergeCell ref="V873:AH873"/>
    <mergeCell ref="Y874:AH874"/>
    <mergeCell ref="V905:AH905"/>
    <mergeCell ref="Y906:AH906"/>
    <mergeCell ref="V936:AH936"/>
    <mergeCell ref="V937:AH937"/>
    <mergeCell ref="V777:AH777"/>
    <mergeCell ref="Y778:AH778"/>
    <mergeCell ref="V809:AH809"/>
    <mergeCell ref="Y810:AH810"/>
    <mergeCell ref="V841:AH841"/>
    <mergeCell ref="Y842:AH842"/>
    <mergeCell ref="V681:AH681"/>
    <mergeCell ref="Y682:AH682"/>
    <mergeCell ref="V713:AH713"/>
    <mergeCell ref="Y714:AH714"/>
    <mergeCell ref="V745:AH745"/>
    <mergeCell ref="Y746:AH746"/>
    <mergeCell ref="Y586:AH586"/>
    <mergeCell ref="V617:AH617"/>
    <mergeCell ref="Y618:AH618"/>
    <mergeCell ref="V648:AH648"/>
    <mergeCell ref="V649:AH649"/>
    <mergeCell ref="Y650:AH650"/>
    <mergeCell ref="Y490:AH490"/>
    <mergeCell ref="V521:AH521"/>
    <mergeCell ref="Y522:AH522"/>
    <mergeCell ref="V553:AH553"/>
    <mergeCell ref="Y554:AH554"/>
    <mergeCell ref="V585:AH585"/>
    <mergeCell ref="Y394:AH394"/>
    <mergeCell ref="V425:AH425"/>
    <mergeCell ref="Y426:AH426"/>
    <mergeCell ref="V457:AH457"/>
    <mergeCell ref="Y458:AH458"/>
    <mergeCell ref="V489:AH489"/>
    <mergeCell ref="V329:AH329"/>
    <mergeCell ref="Y330:AH330"/>
    <mergeCell ref="V360:AH360"/>
    <mergeCell ref="V361:AH361"/>
    <mergeCell ref="Y362:AH362"/>
    <mergeCell ref="V393:AH393"/>
    <mergeCell ref="V233:AH233"/>
    <mergeCell ref="Y234:AH234"/>
    <mergeCell ref="V265:AH265"/>
    <mergeCell ref="Y266:AH266"/>
    <mergeCell ref="V297:AH297"/>
    <mergeCell ref="Y298:AH298"/>
    <mergeCell ref="V137:AH137"/>
    <mergeCell ref="Y138:AH138"/>
    <mergeCell ref="V169:AH169"/>
    <mergeCell ref="Y170:AH170"/>
    <mergeCell ref="V201:AH201"/>
    <mergeCell ref="Y202:AH202"/>
    <mergeCell ref="Y42:AH42"/>
    <mergeCell ref="D57:I57"/>
    <mergeCell ref="V73:AH73"/>
    <mergeCell ref="Y74:AH74"/>
    <mergeCell ref="V105:AH105"/>
    <mergeCell ref="Y106:AH106"/>
    <mergeCell ref="G17:I17"/>
    <mergeCell ref="M17:O17"/>
    <mergeCell ref="A21:A22"/>
    <mergeCell ref="V41:AH41"/>
    <mergeCell ref="G13:I13"/>
    <mergeCell ref="M13:O13"/>
    <mergeCell ref="G14:I14"/>
    <mergeCell ref="M14:O14"/>
    <mergeCell ref="G15:I15"/>
    <mergeCell ref="M15:O15"/>
    <mergeCell ref="G12:I12"/>
    <mergeCell ref="M12:O12"/>
    <mergeCell ref="G7:I7"/>
    <mergeCell ref="M7:O7"/>
    <mergeCell ref="G8:I8"/>
    <mergeCell ref="M8:O8"/>
    <mergeCell ref="G9:I9"/>
    <mergeCell ref="M9:O9"/>
    <mergeCell ref="G16:I16"/>
    <mergeCell ref="M16:O16"/>
    <mergeCell ref="A1:B1"/>
    <mergeCell ref="A2:C2"/>
    <mergeCell ref="V5:AH5"/>
    <mergeCell ref="B6:F6"/>
    <mergeCell ref="G6:Q6"/>
    <mergeCell ref="Y6:AH6"/>
    <mergeCell ref="G10:I10"/>
    <mergeCell ref="M10:O10"/>
    <mergeCell ref="G11:I11"/>
    <mergeCell ref="M11:O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126"/>
  <sheetViews>
    <sheetView tabSelected="1" workbookViewId="0">
      <selection activeCell="S34" sqref="S34"/>
    </sheetView>
  </sheetViews>
  <sheetFormatPr baseColWidth="10" defaultRowHeight="15" x14ac:dyDescent="0.25"/>
  <cols>
    <col min="2" max="2" width="14.42578125" customWidth="1"/>
    <col min="14" max="14" width="14.5703125" bestFit="1" customWidth="1"/>
  </cols>
  <sheetData>
    <row r="1" spans="1:39" x14ac:dyDescent="0.25">
      <c r="AH1" s="1"/>
      <c r="AI1" s="1"/>
      <c r="AJ1" s="1"/>
      <c r="AK1" s="1"/>
      <c r="AL1" s="1"/>
      <c r="AM1" s="1"/>
    </row>
    <row r="2" spans="1:39" x14ac:dyDescent="0.25">
      <c r="D2" s="2"/>
      <c r="E2" s="2"/>
      <c r="F2" s="2"/>
      <c r="G2" s="192" t="s">
        <v>0</v>
      </c>
      <c r="H2" s="192"/>
      <c r="I2" s="192"/>
      <c r="J2" s="192"/>
      <c r="K2" s="2"/>
      <c r="L2" s="3"/>
      <c r="M2" s="3"/>
      <c r="AH2" s="1"/>
      <c r="AI2" s="1"/>
      <c r="AJ2" s="1"/>
      <c r="AK2" s="1"/>
      <c r="AL2" s="1"/>
      <c r="AM2" s="1"/>
    </row>
    <row r="3" spans="1:39" ht="15.75" thickBot="1" x14ac:dyDescent="0.3">
      <c r="D3" s="2"/>
      <c r="E3" s="2"/>
      <c r="F3" s="2"/>
      <c r="G3" s="2"/>
      <c r="H3" s="2"/>
      <c r="I3" s="2"/>
      <c r="J3" s="3"/>
      <c r="K3" s="2"/>
      <c r="L3" s="3"/>
      <c r="M3" s="3"/>
      <c r="AH3" s="1"/>
      <c r="AI3" s="1"/>
      <c r="AJ3" s="1"/>
      <c r="AK3" s="1"/>
      <c r="AL3" s="1"/>
      <c r="AM3" s="1"/>
    </row>
    <row r="4" spans="1:39" ht="27" thickTop="1" x14ac:dyDescent="0.4">
      <c r="A4" s="193" t="s">
        <v>1</v>
      </c>
      <c r="B4" s="194"/>
      <c r="C4" s="194"/>
      <c r="D4" s="195"/>
      <c r="E4" s="2"/>
      <c r="F4" s="4" t="s">
        <v>2</v>
      </c>
      <c r="G4" s="4"/>
      <c r="H4" s="4"/>
      <c r="I4" s="4"/>
      <c r="J4" s="4"/>
      <c r="K4" s="4"/>
      <c r="L4" s="4"/>
      <c r="M4" s="4"/>
      <c r="P4" s="5"/>
      <c r="AH4" s="1"/>
      <c r="AI4" s="1"/>
      <c r="AJ4" s="1"/>
      <c r="AK4" s="1"/>
      <c r="AL4" s="1"/>
      <c r="AM4" s="1"/>
    </row>
    <row r="5" spans="1:39" x14ac:dyDescent="0.2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P5" s="5"/>
      <c r="AH5" s="1"/>
      <c r="AI5" s="1"/>
      <c r="AJ5" s="1"/>
      <c r="AK5" s="1"/>
      <c r="AL5" s="1"/>
      <c r="AM5" s="1"/>
    </row>
    <row r="6" spans="1:39" ht="15.75" x14ac:dyDescent="0.25">
      <c r="A6" s="6"/>
      <c r="B6" s="3"/>
      <c r="C6" s="3"/>
      <c r="D6" s="3"/>
      <c r="E6" s="3"/>
      <c r="F6" s="3"/>
      <c r="G6" s="2" t="s">
        <v>3</v>
      </c>
      <c r="H6" s="7" t="s">
        <v>4</v>
      </c>
      <c r="I6" s="3"/>
      <c r="K6" s="3"/>
      <c r="L6" s="3"/>
      <c r="AH6" s="1"/>
      <c r="AI6" s="1"/>
      <c r="AJ6" s="1"/>
      <c r="AK6" s="1"/>
      <c r="AL6" s="1"/>
      <c r="AM6" s="1"/>
    </row>
    <row r="7" spans="1:39" ht="18" x14ac:dyDescent="0.25">
      <c r="A7" s="8"/>
      <c r="B7" s="3"/>
      <c r="C7" s="3"/>
      <c r="D7" s="3"/>
      <c r="E7" s="3"/>
      <c r="F7" s="3"/>
      <c r="G7" s="3"/>
      <c r="H7" s="3"/>
      <c r="I7" s="9" t="s">
        <v>5</v>
      </c>
      <c r="J7" s="196" t="s">
        <v>126</v>
      </c>
      <c r="K7" s="196"/>
      <c r="L7" s="9" t="s">
        <v>6</v>
      </c>
      <c r="M7" s="10">
        <v>2013</v>
      </c>
      <c r="AF7" s="11"/>
      <c r="AH7" s="1"/>
      <c r="AI7" s="1"/>
      <c r="AJ7" s="1"/>
      <c r="AK7" s="1"/>
      <c r="AL7" s="1"/>
      <c r="AM7" s="1"/>
    </row>
    <row r="8" spans="1:39" ht="18.75" thickBot="1" x14ac:dyDescent="0.3">
      <c r="A8" s="8"/>
      <c r="B8" s="3"/>
      <c r="C8" s="3"/>
      <c r="D8" s="3"/>
      <c r="E8" s="3"/>
      <c r="F8" s="3"/>
      <c r="G8" s="3"/>
      <c r="H8" s="3"/>
      <c r="I8" s="9"/>
      <c r="J8" s="12"/>
      <c r="K8" s="12"/>
      <c r="L8" s="9"/>
      <c r="AH8" s="1"/>
      <c r="AI8" s="1"/>
      <c r="AJ8" s="1"/>
      <c r="AK8" s="1"/>
      <c r="AL8" s="1"/>
      <c r="AM8" s="1"/>
    </row>
    <row r="9" spans="1:39" ht="57" thickBot="1" x14ac:dyDescent="0.3">
      <c r="A9" s="197" t="s">
        <v>7</v>
      </c>
      <c r="B9" s="13" t="s">
        <v>8</v>
      </c>
      <c r="C9" s="14" t="s">
        <v>9</v>
      </c>
      <c r="D9" s="15" t="s">
        <v>10</v>
      </c>
      <c r="E9" s="15"/>
      <c r="F9" s="15"/>
      <c r="G9" s="15"/>
      <c r="H9" s="15"/>
      <c r="I9" s="15"/>
      <c r="J9" s="15"/>
      <c r="K9" s="15"/>
      <c r="L9" s="15"/>
      <c r="M9" s="15"/>
      <c r="N9" s="189" t="s">
        <v>11</v>
      </c>
      <c r="O9" s="16" t="s">
        <v>12</v>
      </c>
      <c r="P9" s="185" t="s">
        <v>13</v>
      </c>
      <c r="Q9" s="185" t="s">
        <v>56</v>
      </c>
      <c r="R9" s="185" t="s">
        <v>14</v>
      </c>
      <c r="S9" s="187" t="s">
        <v>15</v>
      </c>
      <c r="T9" s="189" t="s">
        <v>16</v>
      </c>
      <c r="U9" s="190" t="s">
        <v>17</v>
      </c>
      <c r="V9" s="181" t="s">
        <v>18</v>
      </c>
      <c r="W9" s="182"/>
      <c r="X9" s="182"/>
      <c r="Y9" s="182"/>
      <c r="Z9" s="182"/>
      <c r="AA9" s="182"/>
      <c r="AB9" s="181" t="s">
        <v>19</v>
      </c>
      <c r="AC9" s="182"/>
      <c r="AD9" s="182"/>
      <c r="AE9" s="182"/>
      <c r="AF9" s="182"/>
      <c r="AG9" s="182"/>
      <c r="AH9" s="181" t="s">
        <v>20</v>
      </c>
      <c r="AI9" s="182"/>
      <c r="AJ9" s="182"/>
      <c r="AK9" s="182"/>
      <c r="AL9" s="182"/>
      <c r="AM9" s="183"/>
    </row>
    <row r="10" spans="1:39" ht="18" customHeight="1" thickBot="1" x14ac:dyDescent="0.3">
      <c r="A10" s="198"/>
      <c r="B10" s="17" t="s">
        <v>21</v>
      </c>
      <c r="C10" s="18" t="s">
        <v>22</v>
      </c>
      <c r="D10" s="19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1" t="s">
        <v>29</v>
      </c>
      <c r="K10" s="20" t="s">
        <v>30</v>
      </c>
      <c r="L10" s="20" t="s">
        <v>31</v>
      </c>
      <c r="M10" s="22" t="s">
        <v>32</v>
      </c>
      <c r="N10" s="189"/>
      <c r="O10" s="23"/>
      <c r="P10" s="186"/>
      <c r="Q10" s="186"/>
      <c r="R10" s="186"/>
      <c r="S10" s="188"/>
      <c r="T10" s="189"/>
      <c r="U10" s="191"/>
      <c r="V10" s="19" t="s">
        <v>23</v>
      </c>
      <c r="W10" s="20" t="s">
        <v>24</v>
      </c>
      <c r="X10" s="20" t="s">
        <v>25</v>
      </c>
      <c r="Y10" s="20" t="s">
        <v>26</v>
      </c>
      <c r="Z10" s="20" t="s">
        <v>27</v>
      </c>
      <c r="AA10" s="20" t="s">
        <v>28</v>
      </c>
      <c r="AB10" s="19" t="s">
        <v>23</v>
      </c>
      <c r="AC10" s="20" t="s">
        <v>24</v>
      </c>
      <c r="AD10" s="20" t="s">
        <v>25</v>
      </c>
      <c r="AE10" s="20" t="s">
        <v>26</v>
      </c>
      <c r="AF10" s="20" t="s">
        <v>27</v>
      </c>
      <c r="AG10" s="20" t="s">
        <v>28</v>
      </c>
      <c r="AH10" s="19" t="s">
        <v>23</v>
      </c>
      <c r="AI10" s="20" t="s">
        <v>24</v>
      </c>
      <c r="AJ10" s="20" t="s">
        <v>25</v>
      </c>
      <c r="AK10" s="20" t="s">
        <v>26</v>
      </c>
      <c r="AL10" s="20" t="s">
        <v>27</v>
      </c>
      <c r="AM10" s="20" t="s">
        <v>28</v>
      </c>
    </row>
    <row r="11" spans="1:39" x14ac:dyDescent="0.25">
      <c r="A11" s="24">
        <v>1</v>
      </c>
      <c r="B11" s="25">
        <f>[1]CG_Palmillas_Octubre!B11</f>
        <v>8799.3469583333335</v>
      </c>
      <c r="C11" s="25">
        <f>[1]CG_Palmillas_Octubre!C11</f>
        <v>0.61243250000000005</v>
      </c>
      <c r="D11" s="25">
        <f>[1]CG_Palmillas_Octubre!D11</f>
        <v>1.0333333333333335E-2</v>
      </c>
      <c r="E11" s="25">
        <f>[1]CG_Palmillas_Octubre!E11</f>
        <v>0.43495833333333334</v>
      </c>
      <c r="F11" s="25">
        <f>[1]CG_Palmillas_Octubre!F11</f>
        <v>2.933333333333335E-2</v>
      </c>
      <c r="G11" s="25">
        <f>[1]CG_Palmillas_Octubre!G11</f>
        <v>3.8250000000000013E-2</v>
      </c>
      <c r="H11" s="25">
        <f>[1]CG_Palmillas_Octubre!H11</f>
        <v>5.2500000000000021E-3</v>
      </c>
      <c r="I11" s="25">
        <f>[1]CG_Palmillas_Octubre!I11</f>
        <v>3.5833333333333346E-3</v>
      </c>
      <c r="J11" s="25">
        <f>[1]CG_Palmillas_Octubre!J11</f>
        <v>3.5912916666666668</v>
      </c>
      <c r="K11" s="25">
        <f>[1]CG_Palmillas_Octubre!K11</f>
        <v>88.471916666666672</v>
      </c>
      <c r="L11" s="25">
        <f>[1]CG_Palmillas_Octubre!L11</f>
        <v>0.20233333333333337</v>
      </c>
      <c r="M11" s="25">
        <f>[1]CG_Palmillas_Octubre!M11</f>
        <v>7.2127499999999989</v>
      </c>
      <c r="N11" s="25">
        <f t="shared" ref="N11:N39" si="0">B11/SQRT(C11)</f>
        <v>11244.012703082915</v>
      </c>
      <c r="O11" s="25">
        <f t="shared" ref="O11:O39" si="1">N11*0.0041868</f>
        <v>47.076432385267552</v>
      </c>
      <c r="P11" s="26">
        <v>17.169039078677695</v>
      </c>
      <c r="Q11" s="26">
        <v>-4.9946293830871582</v>
      </c>
      <c r="R11" s="27"/>
      <c r="S11" s="27"/>
      <c r="T11" s="25">
        <f t="shared" ref="T11:T37" si="2">+J11+L11</f>
        <v>3.793625</v>
      </c>
      <c r="U11" s="25">
        <f>SUM(AH11:AM11)</f>
        <v>1.7406288755933742E-2</v>
      </c>
      <c r="V11" s="28">
        <f t="shared" ref="V11:V41" si="3">+D11/$L$55</f>
        <v>4.2986955539007897E-4</v>
      </c>
      <c r="W11" s="28">
        <f t="shared" ref="W11:W41" si="4">+E11/$L$55</f>
        <v>1.8094388260955781E-2</v>
      </c>
      <c r="X11" s="28">
        <f t="shared" ref="X11:X41" si="5">+F11/$L$55</f>
        <v>1.2202748669137731E-3</v>
      </c>
      <c r="Y11" s="28">
        <f t="shared" ref="Y11:Y41" si="6">+G11/$L$55</f>
        <v>1.5912106929358572E-3</v>
      </c>
      <c r="Z11" s="28">
        <f t="shared" ref="Z11:Z41" si="7">+H11/$L$55</f>
        <v>2.1840146765786275E-4</v>
      </c>
      <c r="AA11" s="28">
        <f t="shared" ref="AA11:AA41" si="8">+I11/$L$55</f>
        <v>1.4906766840139837E-4</v>
      </c>
      <c r="AB11" s="29">
        <f t="shared" ref="AB11:AB41" si="9">+V11*$F$59</f>
        <v>3.7041859587963105E-2</v>
      </c>
      <c r="AC11" s="29">
        <f t="shared" ref="AC11:AC41" si="10">+W11*$F$56</f>
        <v>0.79814346619075949</v>
      </c>
      <c r="AD11" s="29">
        <f t="shared" ref="AD11:AD41" si="11">+X11*$F$57</f>
        <v>7.0946780762366768E-2</v>
      </c>
      <c r="AE11" s="29">
        <f t="shared" ref="AE11:AE41" si="12">+Y11*$F$57</f>
        <v>9.2512989687290742E-2</v>
      </c>
      <c r="AF11" s="29">
        <f t="shared" ref="AF11:AF41" si="13">+Z11*$F$58</f>
        <v>1.5762033920867956E-2</v>
      </c>
      <c r="AG11" s="29">
        <f t="shared" ref="AG11:AG41" si="14">+AA11*$F$58</f>
        <v>1.0758213628528921E-2</v>
      </c>
      <c r="AH11" s="30">
        <f t="shared" ref="AH11:AH41" si="15">(AB11/$G$59)*10</f>
        <v>5.6567138933712722E-4</v>
      </c>
      <c r="AI11" s="30">
        <f t="shared" ref="AI11:AI41" si="16">(AC11/$G$56)*10</f>
        <v>1.3688638863099789E-2</v>
      </c>
      <c r="AJ11" s="30">
        <f t="shared" ref="AJ11:AJ41" si="17">(AD11/$G$57)*10</f>
        <v>1.1842424470841905E-3</v>
      </c>
      <c r="AK11" s="30">
        <f t="shared" ref="AK11:AK41" si="18">(AE11/$G$57)*10</f>
        <v>1.544225236396714E-3</v>
      </c>
      <c r="AL11" s="30">
        <f t="shared" ref="AL11:AL41" si="19">(AF11/$G$58)*10</f>
        <v>2.5170926095285782E-4</v>
      </c>
      <c r="AM11" s="30">
        <f t="shared" ref="AM11:AM41" si="20">(AG11/$G$58)*10</f>
        <v>1.7180155906306165E-4</v>
      </c>
    </row>
    <row r="12" spans="1:39" x14ac:dyDescent="0.25">
      <c r="A12" s="24">
        <v>2</v>
      </c>
      <c r="B12" s="25">
        <f>[1]CG_Palmillas_Octubre!B12</f>
        <v>8790.8757916666655</v>
      </c>
      <c r="C12" s="25">
        <f>[1]CG_Palmillas_Octubre!C12</f>
        <v>0.61258999999999986</v>
      </c>
      <c r="D12" s="25">
        <f>[1]CG_Palmillas_Octubre!D12</f>
        <v>1.1375000000000003E-2</v>
      </c>
      <c r="E12" s="25">
        <f>[1]CG_Palmillas_Octubre!E12</f>
        <v>0.42074999999999996</v>
      </c>
      <c r="F12" s="25">
        <f>[1]CG_Palmillas_Octubre!F12</f>
        <v>2.970833333333335E-2</v>
      </c>
      <c r="G12" s="25">
        <f>[1]CG_Palmillas_Octubre!G12</f>
        <v>3.8708333333333345E-2</v>
      </c>
      <c r="H12" s="25">
        <f>[1]CG_Palmillas_Octubre!H12</f>
        <v>5.4583333333333359E-3</v>
      </c>
      <c r="I12" s="25">
        <f>[1]CG_Palmillas_Octubre!I12</f>
        <v>4.0416666666666682E-3</v>
      </c>
      <c r="J12" s="25">
        <f>[1]CG_Palmillas_Octubre!J12</f>
        <v>3.6782499999999998</v>
      </c>
      <c r="K12" s="25">
        <f>[1]CG_Palmillas_Octubre!K12</f>
        <v>88.414249999999996</v>
      </c>
      <c r="L12" s="25">
        <f>[1]CG_Palmillas_Octubre!L12</f>
        <v>0.19445833333333332</v>
      </c>
      <c r="M12" s="25">
        <f>[1]CG_Palmillas_Octubre!M12</f>
        <v>7.2024999999999997</v>
      </c>
      <c r="N12" s="25">
        <f t="shared" si="0"/>
        <v>11231.743899205409</v>
      </c>
      <c r="O12" s="25">
        <f t="shared" si="1"/>
        <v>47.025065357193206</v>
      </c>
      <c r="P12" s="26">
        <v>16.733333333333331</v>
      </c>
      <c r="Q12" s="26">
        <v>-4.9946293830871582</v>
      </c>
      <c r="R12" s="27"/>
      <c r="S12" s="27"/>
      <c r="T12" s="25">
        <f t="shared" si="2"/>
        <v>3.8727083333333332</v>
      </c>
      <c r="U12" s="25">
        <f t="shared" ref="U12:U37" si="21">SUM(AH12:AM12)</f>
        <v>1.7081765826888692E-2</v>
      </c>
      <c r="V12" s="28">
        <f t="shared" si="3"/>
        <v>4.7320317992536926E-4</v>
      </c>
      <c r="W12" s="28">
        <f t="shared" si="4"/>
        <v>1.7503317622294422E-2</v>
      </c>
      <c r="X12" s="28">
        <f t="shared" si="5"/>
        <v>1.2358749717464776E-3</v>
      </c>
      <c r="Y12" s="28">
        <f t="shared" si="6"/>
        <v>1.6102774877313848E-3</v>
      </c>
      <c r="Z12" s="28">
        <f t="shared" si="7"/>
        <v>2.2706819256492083E-4</v>
      </c>
      <c r="AA12" s="28">
        <f t="shared" si="8"/>
        <v>1.6813446319692609E-4</v>
      </c>
      <c r="AB12" s="29">
        <f t="shared" si="9"/>
        <v>4.077591801416907E-2</v>
      </c>
      <c r="AC12" s="29">
        <f t="shared" si="10"/>
        <v>0.77207134031940694</v>
      </c>
      <c r="AD12" s="29">
        <f t="shared" si="11"/>
        <v>7.185377085734021E-2</v>
      </c>
      <c r="AE12" s="29">
        <f t="shared" si="12"/>
        <v>9.3621533136702711E-2</v>
      </c>
      <c r="AF12" s="29">
        <f t="shared" si="13"/>
        <v>1.6387511457410336E-2</v>
      </c>
      <c r="AG12" s="29">
        <f t="shared" si="14"/>
        <v>1.2134264208922156E-2</v>
      </c>
      <c r="AH12" s="30">
        <f t="shared" si="15"/>
        <v>6.2269471487514413E-4</v>
      </c>
      <c r="AI12" s="30">
        <f t="shared" si="16"/>
        <v>1.3241486276423188E-2</v>
      </c>
      <c r="AJ12" s="30">
        <f t="shared" si="17"/>
        <v>1.199381910186119E-3</v>
      </c>
      <c r="AK12" s="30">
        <f t="shared" si="18"/>
        <v>1.5627290246324043E-3</v>
      </c>
      <c r="AL12" s="30">
        <f t="shared" si="19"/>
        <v>2.6169772368908232E-4</v>
      </c>
      <c r="AM12" s="30">
        <f t="shared" si="20"/>
        <v>1.937761770827556E-4</v>
      </c>
    </row>
    <row r="13" spans="1:39" x14ac:dyDescent="0.25">
      <c r="A13" s="24">
        <v>3</v>
      </c>
      <c r="B13" s="25">
        <f>[1]CG_Palmillas_Octubre!B13</f>
        <v>8768.6642499999998</v>
      </c>
      <c r="C13" s="25">
        <f>[1]CG_Palmillas_Octubre!C13</f>
        <v>0.61159375000000005</v>
      </c>
      <c r="D13" s="25">
        <f>[1]CG_Palmillas_Octubre!D13</f>
        <v>1.2208333333333337E-2</v>
      </c>
      <c r="E13" s="25">
        <f>[1]CG_Palmillas_Octubre!E13</f>
        <v>0.41308333333333341</v>
      </c>
      <c r="F13" s="25">
        <f>[1]CG_Palmillas_Octubre!F13</f>
        <v>3.1541666666666683E-2</v>
      </c>
      <c r="G13" s="25">
        <f>[1]CG_Palmillas_Octubre!G13</f>
        <v>3.8666666666666683E-2</v>
      </c>
      <c r="H13" s="25">
        <f>[1]CG_Palmillas_Octubre!H13</f>
        <v>5.7916666666666681E-3</v>
      </c>
      <c r="I13" s="25">
        <f>[1]CG_Palmillas_Octubre!I13</f>
        <v>4.1250000000000011E-3</v>
      </c>
      <c r="J13" s="25">
        <f>[1]CG_Palmillas_Octubre!J13</f>
        <v>3.7412916666666667</v>
      </c>
      <c r="K13" s="25">
        <f>[1]CG_Palmillas_Octubre!K13</f>
        <v>88.60775000000001</v>
      </c>
      <c r="L13" s="25">
        <f>[1]CG_Palmillas_Octubre!L13</f>
        <v>0.19479166666666667</v>
      </c>
      <c r="M13" s="25">
        <f>[1]CG_Palmillas_Octubre!M13</f>
        <v>6.9508333333333328</v>
      </c>
      <c r="N13" s="25">
        <f t="shared" si="0"/>
        <v>11212.486213448658</v>
      </c>
      <c r="O13" s="25">
        <f t="shared" si="1"/>
        <v>46.944437278466843</v>
      </c>
      <c r="P13" s="26">
        <v>15.988333333333335</v>
      </c>
      <c r="Q13" s="26">
        <v>-4.9946293830871582</v>
      </c>
      <c r="R13" s="27"/>
      <c r="S13" s="27"/>
      <c r="T13" s="25">
        <f t="shared" si="2"/>
        <v>3.9360833333333334</v>
      </c>
      <c r="U13" s="25">
        <f t="shared" si="21"/>
        <v>1.6978415588069215E-2</v>
      </c>
      <c r="V13" s="28">
        <f t="shared" si="3"/>
        <v>5.0787007955360145E-4</v>
      </c>
      <c r="W13" s="28">
        <f t="shared" si="4"/>
        <v>1.7184382145714688E-2</v>
      </c>
      <c r="X13" s="28">
        <f t="shared" si="5"/>
        <v>1.3121421509285883E-3</v>
      </c>
      <c r="Y13" s="28">
        <f t="shared" si="6"/>
        <v>1.6085441427499732E-3</v>
      </c>
      <c r="Z13" s="28">
        <f t="shared" si="7"/>
        <v>2.4093495241621362E-4</v>
      </c>
      <c r="AA13" s="28">
        <f t="shared" si="8"/>
        <v>1.7160115315974927E-4</v>
      </c>
      <c r="AB13" s="29">
        <f t="shared" si="9"/>
        <v>4.3763164755133838E-2</v>
      </c>
      <c r="AC13" s="29">
        <f t="shared" si="10"/>
        <v>0.75800309644747488</v>
      </c>
      <c r="AD13" s="29">
        <f t="shared" si="11"/>
        <v>7.628794465498813E-2</v>
      </c>
      <c r="AE13" s="29">
        <f t="shared" si="12"/>
        <v>9.3520756459483448E-2</v>
      </c>
      <c r="AF13" s="29">
        <f t="shared" si="13"/>
        <v>1.7388275515878137E-2</v>
      </c>
      <c r="AG13" s="29">
        <f t="shared" si="14"/>
        <v>1.2384455223539105E-2</v>
      </c>
      <c r="AH13" s="30">
        <f t="shared" si="15"/>
        <v>6.6831337530555771E-4</v>
      </c>
      <c r="AI13" s="30">
        <f t="shared" si="16"/>
        <v>1.3000207461324966E-2</v>
      </c>
      <c r="AJ13" s="30">
        <f t="shared" si="17"/>
        <v>1.2733970631288809E-3</v>
      </c>
      <c r="AK13" s="30">
        <f t="shared" si="18"/>
        <v>1.5610468620655233E-3</v>
      </c>
      <c r="AL13" s="30">
        <f t="shared" si="19"/>
        <v>2.7767926406704142E-4</v>
      </c>
      <c r="AM13" s="30">
        <f t="shared" si="20"/>
        <v>1.9777156217724534E-4</v>
      </c>
    </row>
    <row r="14" spans="1:39" x14ac:dyDescent="0.25">
      <c r="A14" s="24">
        <v>4</v>
      </c>
      <c r="B14" s="25">
        <f>[1]CG_Palmillas_Octubre!B14</f>
        <v>8770.3642500000005</v>
      </c>
      <c r="C14" s="25">
        <f>[1]CG_Palmillas_Octubre!C14</f>
        <v>0.6095341666666666</v>
      </c>
      <c r="D14" s="25">
        <f>[1]CG_Palmillas_Octubre!D14</f>
        <v>1.1916666666666673E-2</v>
      </c>
      <c r="E14" s="25">
        <f>[1]CG_Palmillas_Octubre!E14</f>
        <v>0.37925000000000003</v>
      </c>
      <c r="F14" s="25">
        <f>[1]CG_Palmillas_Octubre!F14</f>
        <v>2.6583333333333344E-2</v>
      </c>
      <c r="G14" s="25">
        <f>[1]CG_Palmillas_Octubre!G14</f>
        <v>3.4500000000000024E-2</v>
      </c>
      <c r="H14" s="25">
        <f>[1]CG_Palmillas_Octubre!H14</f>
        <v>5.2083333333333348E-3</v>
      </c>
      <c r="I14" s="25">
        <f>[1]CG_Palmillas_Octubre!I14</f>
        <v>3.7500000000000012E-3</v>
      </c>
      <c r="J14" s="25">
        <f>[1]CG_Palmillas_Octubre!J14</f>
        <v>3.5107916666666674</v>
      </c>
      <c r="K14" s="25">
        <f>[1]CG_Palmillas_Octubre!K14</f>
        <v>89.025083333333342</v>
      </c>
      <c r="L14" s="25">
        <f>[1]CG_Palmillas_Octubre!L14</f>
        <v>0.21058333333333337</v>
      </c>
      <c r="M14" s="25">
        <f>[1]CG_Palmillas_Octubre!M14</f>
        <v>6.7927083333333336</v>
      </c>
      <c r="N14" s="25">
        <f t="shared" si="0"/>
        <v>11233.590892424339</v>
      </c>
      <c r="O14" s="25">
        <f t="shared" si="1"/>
        <v>47.032798348402224</v>
      </c>
      <c r="P14" s="26">
        <v>15.932499999999999</v>
      </c>
      <c r="Q14" s="26">
        <v>-4.9946293830871582</v>
      </c>
      <c r="R14" s="27"/>
      <c r="S14" s="27"/>
      <c r="T14" s="25">
        <f t="shared" si="2"/>
        <v>3.721375000000001</v>
      </c>
      <c r="U14" s="25">
        <f t="shared" si="21"/>
        <v>1.548333462477328E-2</v>
      </c>
      <c r="V14" s="28">
        <f t="shared" si="3"/>
        <v>4.9573666468372027E-4</v>
      </c>
      <c r="W14" s="28">
        <f t="shared" si="4"/>
        <v>1.5776906020808463E-2</v>
      </c>
      <c r="X14" s="28">
        <f t="shared" si="5"/>
        <v>1.1058740981406067E-3</v>
      </c>
      <c r="Y14" s="28">
        <f t="shared" si="6"/>
        <v>1.4352096446088127E-3</v>
      </c>
      <c r="Z14" s="28">
        <f t="shared" si="7"/>
        <v>2.166681226764511E-4</v>
      </c>
      <c r="AA14" s="28">
        <f t="shared" si="8"/>
        <v>1.560010483270448E-4</v>
      </c>
      <c r="AB14" s="29">
        <f t="shared" si="9"/>
        <v>4.2717628395796174E-2</v>
      </c>
      <c r="AC14" s="29">
        <f t="shared" si="10"/>
        <v>0.69591932457786132</v>
      </c>
      <c r="AD14" s="29">
        <f t="shared" si="11"/>
        <v>6.4295520065894882E-2</v>
      </c>
      <c r="AE14" s="29">
        <f t="shared" si="12"/>
        <v>8.3443088737556376E-2</v>
      </c>
      <c r="AF14" s="29">
        <f t="shared" si="13"/>
        <v>1.5636938413559478E-2</v>
      </c>
      <c r="AG14" s="29">
        <f t="shared" si="14"/>
        <v>1.1258595657762823E-2</v>
      </c>
      <c r="AH14" s="30">
        <f t="shared" si="15"/>
        <v>6.5234684415491301E-4</v>
      </c>
      <c r="AI14" s="30">
        <f t="shared" si="16"/>
        <v>1.193543355991324E-2</v>
      </c>
      <c r="AJ14" s="30">
        <f t="shared" si="17"/>
        <v>1.0732197176700476E-3</v>
      </c>
      <c r="AK14" s="30">
        <f t="shared" si="18"/>
        <v>1.3928306053774286E-3</v>
      </c>
      <c r="AL14" s="30">
        <f t="shared" si="19"/>
        <v>2.4971156840561284E-4</v>
      </c>
      <c r="AM14" s="30">
        <f t="shared" si="20"/>
        <v>1.7979232925204123E-4</v>
      </c>
    </row>
    <row r="15" spans="1:39" x14ac:dyDescent="0.25">
      <c r="A15" s="24">
        <v>5</v>
      </c>
      <c r="B15" s="25">
        <f>[1]CG_Palmillas_Octubre!B15</f>
        <v>8776.7149166666677</v>
      </c>
      <c r="C15" s="25">
        <f>[1]CG_Palmillas_Octubre!C15</f>
        <v>0.60967333333333329</v>
      </c>
      <c r="D15" s="25">
        <f>[1]CG_Palmillas_Octubre!D15</f>
        <v>1.2833333333333337E-2</v>
      </c>
      <c r="E15" s="25">
        <f>[1]CG_Palmillas_Octubre!E15</f>
        <v>0.40937499999999999</v>
      </c>
      <c r="F15" s="25">
        <f>[1]CG_Palmillas_Octubre!F15</f>
        <v>2.8041666666666683E-2</v>
      </c>
      <c r="G15" s="25">
        <f>[1]CG_Palmillas_Octubre!G15</f>
        <v>3.720833333333335E-2</v>
      </c>
      <c r="H15" s="25">
        <f>[1]CG_Palmillas_Octubre!H15</f>
        <v>5.7083333333333352E-3</v>
      </c>
      <c r="I15" s="25">
        <f>[1]CG_Palmillas_Octubre!I15</f>
        <v>4.1666666666666683E-3</v>
      </c>
      <c r="J15" s="25">
        <f>[1]CG_Palmillas_Octubre!J15</f>
        <v>3.4661666666666662</v>
      </c>
      <c r="K15" s="25">
        <f>[1]CG_Palmillas_Octubre!K15</f>
        <v>89.058791666666664</v>
      </c>
      <c r="L15" s="25">
        <f>[1]CG_Palmillas_Octubre!L15</f>
        <v>0.21883333333333341</v>
      </c>
      <c r="M15" s="25">
        <f>[1]CG_Palmillas_Octubre!M15</f>
        <v>6.7586666666666675</v>
      </c>
      <c r="N15" s="25">
        <f t="shared" si="0"/>
        <v>11240.442078812948</v>
      </c>
      <c r="O15" s="25">
        <f t="shared" si="1"/>
        <v>47.061482895574052</v>
      </c>
      <c r="P15" s="26">
        <v>16.390434782608693</v>
      </c>
      <c r="Q15" s="26">
        <v>-4.9946293830871582</v>
      </c>
      <c r="R15" s="27"/>
      <c r="S15" s="27"/>
      <c r="T15" s="25">
        <f t="shared" si="2"/>
        <v>3.6849999999999996</v>
      </c>
      <c r="U15" s="25">
        <f t="shared" si="21"/>
        <v>1.6693749031561261E-2</v>
      </c>
      <c r="V15" s="28">
        <f t="shared" si="3"/>
        <v>5.3387025427477559E-4</v>
      </c>
      <c r="W15" s="28">
        <f t="shared" si="4"/>
        <v>1.7030114442369054E-2</v>
      </c>
      <c r="X15" s="28">
        <f t="shared" si="5"/>
        <v>1.1665411724900133E-3</v>
      </c>
      <c r="Y15" s="28">
        <f t="shared" si="6"/>
        <v>1.5478770684005671E-3</v>
      </c>
      <c r="Z15" s="28">
        <f t="shared" si="7"/>
        <v>2.3746826245339044E-4</v>
      </c>
      <c r="AA15" s="28">
        <f t="shared" si="8"/>
        <v>1.7333449814116092E-4</v>
      </c>
      <c r="AB15" s="29">
        <f t="shared" si="9"/>
        <v>4.6003599810857415E-2</v>
      </c>
      <c r="AC15" s="29">
        <f t="shared" si="10"/>
        <v>0.75119834805289898</v>
      </c>
      <c r="AD15" s="29">
        <f t="shared" si="11"/>
        <v>6.7822703768569373E-2</v>
      </c>
      <c r="AE15" s="29">
        <f t="shared" si="12"/>
        <v>8.9993572756808971E-2</v>
      </c>
      <c r="AF15" s="29">
        <f t="shared" si="13"/>
        <v>1.7138084501261187E-2</v>
      </c>
      <c r="AG15" s="29">
        <f t="shared" si="14"/>
        <v>1.2509550730847583E-2</v>
      </c>
      <c r="AH15" s="30">
        <f t="shared" si="15"/>
        <v>7.0252737062836783E-4</v>
      </c>
      <c r="AI15" s="30">
        <f t="shared" si="16"/>
        <v>1.2883501947500282E-2</v>
      </c>
      <c r="AJ15" s="30">
        <f t="shared" si="17"/>
        <v>1.132095407510881E-3</v>
      </c>
      <c r="AK15" s="30">
        <f t="shared" si="18"/>
        <v>1.5021711722246903E-3</v>
      </c>
      <c r="AL15" s="30">
        <f t="shared" si="19"/>
        <v>2.7368387897255163E-4</v>
      </c>
      <c r="AM15" s="30">
        <f t="shared" si="20"/>
        <v>1.9976925472449028E-4</v>
      </c>
    </row>
    <row r="16" spans="1:39" x14ac:dyDescent="0.25">
      <c r="A16" s="24">
        <v>6</v>
      </c>
      <c r="B16" s="25">
        <f>[1]CG_Palmillas_Octubre!B16</f>
        <v>8760.1471666666675</v>
      </c>
      <c r="C16" s="25">
        <f>[1]CG_Palmillas_Octubre!C16</f>
        <v>0.60518708333333338</v>
      </c>
      <c r="D16" s="25">
        <f>[1]CG_Palmillas_Octubre!D16</f>
        <v>1.2458333333333337E-2</v>
      </c>
      <c r="E16" s="25">
        <f>[1]CG_Palmillas_Octubre!E16</f>
        <v>0.40162500000000007</v>
      </c>
      <c r="F16" s="25">
        <f>[1]CG_Palmillas_Octubre!F16</f>
        <v>3.3791666666666685E-2</v>
      </c>
      <c r="G16" s="25">
        <f>[1]CG_Palmillas_Octubre!G16</f>
        <v>4.4916666666666667E-2</v>
      </c>
      <c r="H16" s="25">
        <f>[1]CG_Palmillas_Octubre!H16</f>
        <v>6.7083333333333361E-3</v>
      </c>
      <c r="I16" s="25">
        <f>[1]CG_Palmillas_Octubre!I16</f>
        <v>4.9583333333333346E-3</v>
      </c>
      <c r="J16" s="25">
        <f>[1]CG_Palmillas_Octubre!J16</f>
        <v>3.1226666666666669</v>
      </c>
      <c r="K16" s="25">
        <f>[1]CG_Palmillas_Octubre!K16</f>
        <v>90.078749999999999</v>
      </c>
      <c r="L16" s="25">
        <f>[1]CG_Palmillas_Octubre!L16</f>
        <v>0.24337500000000001</v>
      </c>
      <c r="M16" s="25">
        <f>[1]CG_Palmillas_Octubre!M16</f>
        <v>6.0502916666666673</v>
      </c>
      <c r="N16" s="25">
        <f t="shared" si="0"/>
        <v>11260.73082017562</v>
      </c>
      <c r="O16" s="25">
        <f t="shared" si="1"/>
        <v>47.146427797911286</v>
      </c>
      <c r="P16" s="26">
        <v>12.381</v>
      </c>
      <c r="Q16" s="26">
        <v>-4.9946293830871582</v>
      </c>
      <c r="R16" s="27"/>
      <c r="S16" s="27"/>
      <c r="T16" s="25">
        <f t="shared" si="2"/>
        <v>3.3660416666666668</v>
      </c>
      <c r="U16" s="25">
        <f t="shared" si="21"/>
        <v>1.7058558512087145E-2</v>
      </c>
      <c r="V16" s="28">
        <f t="shared" si="3"/>
        <v>5.1827014944207106E-4</v>
      </c>
      <c r="W16" s="28">
        <f t="shared" si="4"/>
        <v>1.6707712275826497E-2</v>
      </c>
      <c r="X16" s="28">
        <f t="shared" si="5"/>
        <v>1.4057427799248152E-3</v>
      </c>
      <c r="Y16" s="28">
        <f t="shared" si="6"/>
        <v>1.868545889961714E-3</v>
      </c>
      <c r="Z16" s="28">
        <f t="shared" si="7"/>
        <v>2.7906854200726908E-4</v>
      </c>
      <c r="AA16" s="28">
        <f t="shared" si="8"/>
        <v>2.0626805278798146E-4</v>
      </c>
      <c r="AB16" s="29">
        <f t="shared" si="9"/>
        <v>4.4659338777423264E-2</v>
      </c>
      <c r="AC16" s="29">
        <f t="shared" si="10"/>
        <v>0.73697718848670679</v>
      </c>
      <c r="AD16" s="29">
        <f t="shared" si="11"/>
        <v>8.1729885224828755E-2</v>
      </c>
      <c r="AE16" s="29">
        <f t="shared" si="12"/>
        <v>0.10863725804237405</v>
      </c>
      <c r="AF16" s="29">
        <f t="shared" si="13"/>
        <v>2.0140376676664611E-2</v>
      </c>
      <c r="AG16" s="29">
        <f t="shared" si="14"/>
        <v>1.4886365369708622E-2</v>
      </c>
      <c r="AH16" s="30">
        <f t="shared" si="15"/>
        <v>6.8199897343468167E-4</v>
      </c>
      <c r="AI16" s="30">
        <f t="shared" si="16"/>
        <v>1.2639600536585773E-2</v>
      </c>
      <c r="AJ16" s="30">
        <f t="shared" si="17"/>
        <v>1.3642338417404521E-3</v>
      </c>
      <c r="AK16" s="30">
        <f t="shared" si="18"/>
        <v>1.8133712470976655E-3</v>
      </c>
      <c r="AL16" s="30">
        <f t="shared" si="19"/>
        <v>3.2162850010642943E-4</v>
      </c>
      <c r="AM16" s="30">
        <f t="shared" si="20"/>
        <v>2.3772541312214342E-4</v>
      </c>
    </row>
    <row r="17" spans="1:39" x14ac:dyDescent="0.25">
      <c r="A17" s="24">
        <v>7</v>
      </c>
      <c r="B17" s="25">
        <f>[1]CG_Palmillas_Octubre!B17</f>
        <v>8714.7944583333338</v>
      </c>
      <c r="C17" s="25">
        <f>[1]CG_Palmillas_Octubre!C17</f>
        <v>0.60253916666666663</v>
      </c>
      <c r="D17" s="25">
        <f>[1]CG_Palmillas_Octubre!D17</f>
        <v>1.4625000000000004E-2</v>
      </c>
      <c r="E17" s="25">
        <f>[1]CG_Palmillas_Octubre!E17</f>
        <v>0.39783333333333326</v>
      </c>
      <c r="F17" s="25">
        <f>[1]CG_Palmillas_Octubre!F17</f>
        <v>3.7833333333333344E-2</v>
      </c>
      <c r="G17" s="25">
        <f>[1]CG_Palmillas_Octubre!G17</f>
        <v>5.104166666666668E-2</v>
      </c>
      <c r="H17" s="25">
        <f>[1]CG_Palmillas_Octubre!H17</f>
        <v>8.0000000000000019E-3</v>
      </c>
      <c r="I17" s="25">
        <f>[1]CG_Palmillas_Octubre!I17</f>
        <v>6.2916666666666685E-3</v>
      </c>
      <c r="J17" s="25">
        <f>[1]CG_Palmillas_Octubre!J17</f>
        <v>3.1357916666666665</v>
      </c>
      <c r="K17" s="25">
        <f>[1]CG_Palmillas_Octubre!K17</f>
        <v>90.68920833333334</v>
      </c>
      <c r="L17" s="25">
        <f>[1]CG_Palmillas_Octubre!L17</f>
        <v>0.28170833333333339</v>
      </c>
      <c r="M17" s="25">
        <f>[1]CG_Palmillas_Octubre!M17</f>
        <v>5.3781250000000007</v>
      </c>
      <c r="N17" s="25">
        <f t="shared" si="0"/>
        <v>11227.020285063432</v>
      </c>
      <c r="O17" s="25">
        <f t="shared" si="1"/>
        <v>47.005288529503581</v>
      </c>
      <c r="P17" s="26">
        <v>10.063749999999999</v>
      </c>
      <c r="Q17" s="26">
        <v>-4.9946293830871582</v>
      </c>
      <c r="R17" s="27"/>
      <c r="S17" s="27"/>
      <c r="T17" s="25">
        <f t="shared" si="2"/>
        <v>3.4175</v>
      </c>
      <c r="U17" s="25">
        <f t="shared" si="21"/>
        <v>1.7594141216360628E-2</v>
      </c>
      <c r="V17" s="28">
        <f t="shared" si="3"/>
        <v>6.0840408847547477E-4</v>
      </c>
      <c r="W17" s="28">
        <f t="shared" si="4"/>
        <v>1.6549977882518035E-2</v>
      </c>
      <c r="X17" s="28">
        <f t="shared" si="5"/>
        <v>1.5738772431217408E-3</v>
      </c>
      <c r="Y17" s="28">
        <f t="shared" si="6"/>
        <v>2.1233476022292207E-3</v>
      </c>
      <c r="Z17" s="28">
        <f t="shared" si="7"/>
        <v>3.3280223643102888E-4</v>
      </c>
      <c r="AA17" s="28">
        <f t="shared" si="8"/>
        <v>2.6173509219315293E-4</v>
      </c>
      <c r="AB17" s="29">
        <f t="shared" si="9"/>
        <v>5.242618030393166E-2</v>
      </c>
      <c r="AC17" s="29">
        <f t="shared" si="10"/>
        <v>0.73001952439787055</v>
      </c>
      <c r="AD17" s="29">
        <f t="shared" si="11"/>
        <v>9.1505222915098008E-2</v>
      </c>
      <c r="AE17" s="29">
        <f t="shared" si="12"/>
        <v>0.1234514295936069</v>
      </c>
      <c r="AF17" s="29">
        <f t="shared" si="13"/>
        <v>2.4018337403227355E-2</v>
      </c>
      <c r="AG17" s="29">
        <f t="shared" si="14"/>
        <v>1.8889421603579849E-2</v>
      </c>
      <c r="AH17" s="30">
        <f t="shared" si="15"/>
        <v>8.0060749055375685E-4</v>
      </c>
      <c r="AI17" s="30">
        <f t="shared" si="16"/>
        <v>1.2520272426944801E-2</v>
      </c>
      <c r="AJ17" s="30">
        <f t="shared" si="17"/>
        <v>1.5274036107279041E-3</v>
      </c>
      <c r="AK17" s="30">
        <f t="shared" si="18"/>
        <v>2.0606491444291656E-3</v>
      </c>
      <c r="AL17" s="30">
        <f t="shared" si="19"/>
        <v>3.835569690710213E-4</v>
      </c>
      <c r="AM17" s="30">
        <f t="shared" si="20"/>
        <v>3.0165157463398032E-4</v>
      </c>
    </row>
    <row r="18" spans="1:39" x14ac:dyDescent="0.25">
      <c r="A18" s="24">
        <v>8</v>
      </c>
      <c r="B18" s="25">
        <f>[1]CG_Palmillas_Octubre!B18</f>
        <v>8717.9567083333332</v>
      </c>
      <c r="C18" s="25">
        <f>[1]CG_Palmillas_Octubre!C18</f>
        <v>0.60340583333333331</v>
      </c>
      <c r="D18" s="25">
        <f>[1]CG_Palmillas_Octubre!D18</f>
        <v>1.5041666666666674E-2</v>
      </c>
      <c r="E18" s="25">
        <f>[1]CG_Palmillas_Octubre!E18</f>
        <v>0.45520833333333344</v>
      </c>
      <c r="F18" s="25">
        <f>[1]CG_Palmillas_Octubre!F18</f>
        <v>3.7291666666666681E-2</v>
      </c>
      <c r="G18" s="25">
        <f>[1]CG_Palmillas_Octubre!G18</f>
        <v>4.987500000000001E-2</v>
      </c>
      <c r="H18" s="25">
        <f>[1]CG_Palmillas_Octubre!H18</f>
        <v>8.1666666666666693E-3</v>
      </c>
      <c r="I18" s="25">
        <f>[1]CG_Palmillas_Octubre!I18</f>
        <v>6.4583333333333359E-3</v>
      </c>
      <c r="J18" s="25">
        <f>[1]CG_Palmillas_Octubre!J18</f>
        <v>3.1908749999999997</v>
      </c>
      <c r="K18" s="25">
        <f>[1]CG_Palmillas_Octubre!K18</f>
        <v>90.562124999999995</v>
      </c>
      <c r="L18" s="25">
        <f>[1]CG_Palmillas_Octubre!L18</f>
        <v>0.28420833333333334</v>
      </c>
      <c r="M18" s="25">
        <f>[1]CG_Palmillas_Octubre!M18</f>
        <v>5.3909166666666657</v>
      </c>
      <c r="N18" s="25">
        <f t="shared" si="0"/>
        <v>11223.025660544132</v>
      </c>
      <c r="O18" s="25">
        <f t="shared" si="1"/>
        <v>46.988563835566175</v>
      </c>
      <c r="P18" s="26">
        <v>14.952500000000002</v>
      </c>
      <c r="Q18" s="26">
        <v>-4.9946299999999999</v>
      </c>
      <c r="R18" s="27"/>
      <c r="S18" s="27"/>
      <c r="T18" s="25">
        <f t="shared" si="2"/>
        <v>3.4750833333333331</v>
      </c>
      <c r="U18" s="25">
        <f t="shared" si="21"/>
        <v>1.9369620641223932E-2</v>
      </c>
      <c r="V18" s="28">
        <f t="shared" si="3"/>
        <v>6.2573753828959098E-4</v>
      </c>
      <c r="W18" s="28">
        <f t="shared" si="4"/>
        <v>1.8936793921921827E-2</v>
      </c>
      <c r="X18" s="28">
        <f t="shared" si="5"/>
        <v>1.5513437583633903E-3</v>
      </c>
      <c r="Y18" s="28">
        <f t="shared" si="6"/>
        <v>2.0748139427496956E-3</v>
      </c>
      <c r="Z18" s="28">
        <f t="shared" si="7"/>
        <v>3.3973561635667536E-4</v>
      </c>
      <c r="AA18" s="28">
        <f t="shared" si="8"/>
        <v>2.6866847211879941E-4</v>
      </c>
      <c r="AB18" s="29">
        <f t="shared" si="9"/>
        <v>5.3919803674414055E-2</v>
      </c>
      <c r="AC18" s="29">
        <f t="shared" si="10"/>
        <v>0.83530197989597177</v>
      </c>
      <c r="AD18" s="29">
        <f t="shared" si="11"/>
        <v>9.0195126111247512E-2</v>
      </c>
      <c r="AE18" s="29">
        <f t="shared" si="12"/>
        <v>0.1206296826314673</v>
      </c>
      <c r="AF18" s="29">
        <f t="shared" si="13"/>
        <v>2.4518719432461263E-2</v>
      </c>
      <c r="AG18" s="29">
        <f t="shared" si="14"/>
        <v>1.9389803632813753E-2</v>
      </c>
      <c r="AH18" s="30">
        <f t="shared" si="15"/>
        <v>8.2341682076896374E-4</v>
      </c>
      <c r="AI18" s="30">
        <f t="shared" si="16"/>
        <v>1.4325929646457059E-2</v>
      </c>
      <c r="AJ18" s="30">
        <f t="shared" si="17"/>
        <v>1.5055354973584523E-3</v>
      </c>
      <c r="AK18" s="30">
        <f t="shared" si="18"/>
        <v>2.0135485925564991E-3</v>
      </c>
      <c r="AL18" s="30">
        <f t="shared" si="19"/>
        <v>3.9154773926000099E-4</v>
      </c>
      <c r="AM18" s="30">
        <f t="shared" si="20"/>
        <v>3.0964234482295995E-4</v>
      </c>
    </row>
    <row r="19" spans="1:39" x14ac:dyDescent="0.25">
      <c r="A19" s="24">
        <v>9</v>
      </c>
      <c r="B19" s="25">
        <f>[1]CG_Palmillas_Octubre!B19</f>
        <v>8697.7554999999993</v>
      </c>
      <c r="C19" s="25">
        <f>[1]CG_Palmillas_Octubre!C19</f>
        <v>0.60432499999999989</v>
      </c>
      <c r="D19" s="25">
        <f>[1]CG_Palmillas_Octubre!D19</f>
        <v>1.545833333333334E-2</v>
      </c>
      <c r="E19" s="25">
        <f>[1]CG_Palmillas_Octubre!E19</f>
        <v>0.42670833333333341</v>
      </c>
      <c r="F19" s="25">
        <f>[1]CG_Palmillas_Octubre!F19</f>
        <v>3.8916666666666676E-2</v>
      </c>
      <c r="G19" s="25">
        <f>[1]CG_Palmillas_Octubre!G19</f>
        <v>5.025000000000001E-2</v>
      </c>
      <c r="H19" s="25">
        <f>[1]CG_Palmillas_Octubre!H19</f>
        <v>8.3750000000000022E-3</v>
      </c>
      <c r="I19" s="25">
        <f>[1]CG_Palmillas_Octubre!I19</f>
        <v>6.9166666666666691E-3</v>
      </c>
      <c r="J19" s="25">
        <f>[1]CG_Palmillas_Octubre!J19</f>
        <v>3.4535</v>
      </c>
      <c r="K19" s="25">
        <f>[1]CG_Palmillas_Octubre!K19</f>
        <v>90.293166666666664</v>
      </c>
      <c r="L19" s="25">
        <f>[1]CG_Palmillas_Octubre!L19</f>
        <v>0.26295833333333335</v>
      </c>
      <c r="M19" s="25">
        <f>[1]CG_Palmillas_Octubre!M19</f>
        <v>5.4438749999999994</v>
      </c>
      <c r="N19" s="25">
        <f t="shared" si="0"/>
        <v>11188.501252371696</v>
      </c>
      <c r="O19" s="25">
        <f t="shared" si="1"/>
        <v>46.844017043429815</v>
      </c>
      <c r="P19" s="26">
        <v>10.359999999999998</v>
      </c>
      <c r="Q19" s="26">
        <v>-4.9946299999999999</v>
      </c>
      <c r="R19" s="27"/>
      <c r="S19" s="27"/>
      <c r="T19" s="25">
        <f t="shared" si="2"/>
        <v>3.7164583333333332</v>
      </c>
      <c r="U19" s="25">
        <f t="shared" si="21"/>
        <v>1.8608209086235856E-2</v>
      </c>
      <c r="V19" s="28">
        <f t="shared" si="3"/>
        <v>6.4307098810370696E-4</v>
      </c>
      <c r="W19" s="28">
        <f t="shared" si="4"/>
        <v>1.7751185954636286E-2</v>
      </c>
      <c r="X19" s="28">
        <f t="shared" si="5"/>
        <v>1.6189442126384426E-3</v>
      </c>
      <c r="Y19" s="28">
        <f t="shared" si="6"/>
        <v>2.0904140475824003E-3</v>
      </c>
      <c r="Z19" s="28">
        <f t="shared" si="7"/>
        <v>3.4840234126373341E-4</v>
      </c>
      <c r="AA19" s="28">
        <f t="shared" si="8"/>
        <v>2.8773526691432708E-4</v>
      </c>
      <c r="AB19" s="29">
        <f t="shared" si="9"/>
        <v>5.5413427044896428E-2</v>
      </c>
      <c r="AC19" s="29">
        <f t="shared" si="10"/>
        <v>0.78300481245900655</v>
      </c>
      <c r="AD19" s="29">
        <f t="shared" si="11"/>
        <v>9.4125416522799057E-2</v>
      </c>
      <c r="AE19" s="29">
        <f t="shared" si="12"/>
        <v>0.12153667272644075</v>
      </c>
      <c r="AF19" s="29">
        <f t="shared" si="13"/>
        <v>2.5144196969003642E-2</v>
      </c>
      <c r="AG19" s="29">
        <f t="shared" si="14"/>
        <v>2.0765854213206987E-2</v>
      </c>
      <c r="AH19" s="30">
        <f t="shared" si="15"/>
        <v>8.4622615098417031E-4</v>
      </c>
      <c r="AI19" s="30">
        <f t="shared" si="16"/>
        <v>1.3429001877287572E-2</v>
      </c>
      <c r="AJ19" s="30">
        <f t="shared" si="17"/>
        <v>1.5711398374668088E-3</v>
      </c>
      <c r="AK19" s="30">
        <f t="shared" si="18"/>
        <v>2.0286880556584278E-3</v>
      </c>
      <c r="AL19" s="30">
        <f t="shared" si="19"/>
        <v>4.0153620199622549E-4</v>
      </c>
      <c r="AM19" s="30">
        <f t="shared" si="20"/>
        <v>3.3161696284265388E-4</v>
      </c>
    </row>
    <row r="20" spans="1:39" x14ac:dyDescent="0.25">
      <c r="A20" s="24">
        <v>10</v>
      </c>
      <c r="B20" s="25">
        <f>[1]CG_Palmillas_Octubre!B20</f>
        <v>8531.0222500000018</v>
      </c>
      <c r="C20" s="25">
        <f>[1]CG_Palmillas_Octubre!C20</f>
        <v>0.61101249999999996</v>
      </c>
      <c r="D20" s="25">
        <f>[1]CG_Palmillas_Octubre!D20</f>
        <v>1.8541666666666675E-2</v>
      </c>
      <c r="E20" s="25">
        <f>[1]CG_Palmillas_Octubre!E20</f>
        <v>0.32287500000000002</v>
      </c>
      <c r="F20" s="25">
        <f>[1]CG_Palmillas_Octubre!F20</f>
        <v>2.5500000000000012E-2</v>
      </c>
      <c r="G20" s="25">
        <f>[1]CG_Palmillas_Octubre!G20</f>
        <v>3.1625000000000014E-2</v>
      </c>
      <c r="H20" s="25">
        <f>[1]CG_Palmillas_Octubre!H20</f>
        <v>7.9166666666666691E-3</v>
      </c>
      <c r="I20" s="25">
        <f>[1]CG_Palmillas_Octubre!I20</f>
        <v>7.4583333333333368E-3</v>
      </c>
      <c r="J20" s="25">
        <f>[1]CG_Palmillas_Octubre!J20</f>
        <v>5.5206666666666671</v>
      </c>
      <c r="K20" s="25">
        <f>[1]CG_Palmillas_Octubre!K20</f>
        <v>88.286833333333334</v>
      </c>
      <c r="L20" s="25">
        <f>[1]CG_Palmillas_Octubre!L20</f>
        <v>9.774999999999999E-2</v>
      </c>
      <c r="M20" s="25">
        <f>[1]CG_Palmillas_Octubre!M20</f>
        <v>5.680958333333332</v>
      </c>
      <c r="N20" s="25">
        <f t="shared" si="0"/>
        <v>10913.800910499511</v>
      </c>
      <c r="O20" s="25">
        <f t="shared" si="1"/>
        <v>45.693901652079354</v>
      </c>
      <c r="P20" s="26">
        <v>12.594000000000001</v>
      </c>
      <c r="Q20" s="26">
        <v>-4.9946299999999999</v>
      </c>
      <c r="R20" s="27"/>
      <c r="S20" s="27"/>
      <c r="T20" s="25">
        <f t="shared" si="2"/>
        <v>5.6184166666666666</v>
      </c>
      <c r="U20" s="25">
        <f t="shared" si="21"/>
        <v>1.4219656113900258E-2</v>
      </c>
      <c r="V20" s="28">
        <f t="shared" si="3"/>
        <v>7.7133851672816611E-4</v>
      </c>
      <c r="W20" s="28">
        <f t="shared" si="4"/>
        <v>1.3431690260958555E-2</v>
      </c>
      <c r="X20" s="28">
        <f t="shared" si="5"/>
        <v>1.0608071286239049E-3</v>
      </c>
      <c r="Y20" s="28">
        <f t="shared" si="6"/>
        <v>1.3156088408914114E-3</v>
      </c>
      <c r="Z20" s="28">
        <f t="shared" si="7"/>
        <v>3.2933554646820569E-4</v>
      </c>
      <c r="AA20" s="28">
        <f t="shared" si="8"/>
        <v>3.1026875167267803E-4</v>
      </c>
      <c r="AB20" s="29">
        <f t="shared" si="9"/>
        <v>6.6466239986466072E-2</v>
      </c>
      <c r="AC20" s="29">
        <f t="shared" si="10"/>
        <v>0.59247185741088182</v>
      </c>
      <c r="AD20" s="29">
        <f t="shared" si="11"/>
        <v>6.1675326458193833E-2</v>
      </c>
      <c r="AE20" s="29">
        <f t="shared" si="12"/>
        <v>7.6489498009426657E-2</v>
      </c>
      <c r="AF20" s="29">
        <f t="shared" si="13"/>
        <v>2.3768146388610405E-2</v>
      </c>
      <c r="AG20" s="29">
        <f t="shared" si="14"/>
        <v>2.2392095808217174E-2</v>
      </c>
      <c r="AH20" s="30">
        <f t="shared" si="15"/>
        <v>1.0150151945767004E-3</v>
      </c>
      <c r="AI20" s="30">
        <f t="shared" si="16"/>
        <v>1.0161247490196406E-2</v>
      </c>
      <c r="AJ20" s="30">
        <f t="shared" si="17"/>
        <v>1.0294834909311426E-3</v>
      </c>
      <c r="AK20" s="30">
        <f t="shared" si="18"/>
        <v>1.2767613882626425E-3</v>
      </c>
      <c r="AL20" s="30">
        <f t="shared" si="19"/>
        <v>3.7956158397653146E-4</v>
      </c>
      <c r="AM20" s="30">
        <f t="shared" si="20"/>
        <v>3.5758696595683764E-4</v>
      </c>
    </row>
    <row r="21" spans="1:39" x14ac:dyDescent="0.25">
      <c r="A21" s="24">
        <v>11</v>
      </c>
      <c r="B21" s="25">
        <f>[1]CG_Palmillas_Octubre!B21</f>
        <v>8701.8038749999996</v>
      </c>
      <c r="C21" s="25">
        <f>[1]CG_Palmillas_Octubre!C21</f>
        <v>0.60631625</v>
      </c>
      <c r="D21" s="25">
        <f>[1]CG_Palmillas_Octubre!D21</f>
        <v>2.133333333333334E-2</v>
      </c>
      <c r="E21" s="25">
        <f>[1]CG_Palmillas_Octubre!E21</f>
        <v>0.46920833333333345</v>
      </c>
      <c r="F21" s="25">
        <f>[1]CG_Palmillas_Octubre!F21</f>
        <v>5.5291666666666663E-2</v>
      </c>
      <c r="G21" s="25">
        <f>[1]CG_Palmillas_Octubre!G21</f>
        <v>6.2291666666666683E-2</v>
      </c>
      <c r="H21" s="25">
        <f>[1]CG_Palmillas_Octubre!H21</f>
        <v>1.0125000000000004E-2</v>
      </c>
      <c r="I21" s="25">
        <f>[1]CG_Palmillas_Octubre!I21</f>
        <v>9.3750000000000031E-3</v>
      </c>
      <c r="J21" s="25">
        <f>[1]CG_Palmillas_Octubre!J21</f>
        <v>3.6693333333333324</v>
      </c>
      <c r="K21" s="25">
        <f>[1]CG_Palmillas_Octubre!K21</f>
        <v>89.952416666666679</v>
      </c>
      <c r="L21" s="25">
        <f>[1]CG_Palmillas_Octubre!L21</f>
        <v>0.22475000000000001</v>
      </c>
      <c r="M21" s="25">
        <f>[1]CG_Palmillas_Octubre!M21</f>
        <v>5.5259166666666664</v>
      </c>
      <c r="N21" s="25">
        <f t="shared" si="0"/>
        <v>11175.312768016598</v>
      </c>
      <c r="O21" s="25">
        <f t="shared" si="1"/>
        <v>46.78879949713189</v>
      </c>
      <c r="P21" s="26">
        <v>13.68916666666667</v>
      </c>
      <c r="Q21" s="26">
        <v>-4.9946299999999999</v>
      </c>
      <c r="R21" s="27"/>
      <c r="S21" s="27"/>
      <c r="T21" s="25">
        <f t="shared" si="2"/>
        <v>3.8940833333333327</v>
      </c>
      <c r="U21" s="25">
        <f t="shared" si="21"/>
        <v>2.161634632646019E-2</v>
      </c>
      <c r="V21" s="28">
        <f t="shared" si="3"/>
        <v>8.8747263048274375E-4</v>
      </c>
      <c r="W21" s="28">
        <f t="shared" si="4"/>
        <v>1.9519197835676128E-2</v>
      </c>
      <c r="X21" s="28">
        <f t="shared" si="5"/>
        <v>2.3001487903332044E-3</v>
      </c>
      <c r="Y21" s="28">
        <f t="shared" si="6"/>
        <v>2.5913507472103553E-3</v>
      </c>
      <c r="Z21" s="28">
        <f t="shared" si="7"/>
        <v>4.2120283048302103E-4</v>
      </c>
      <c r="AA21" s="28">
        <f t="shared" si="8"/>
        <v>3.9000262081761202E-4</v>
      </c>
      <c r="AB21" s="29">
        <f t="shared" si="9"/>
        <v>7.6473516568698024E-2</v>
      </c>
      <c r="AC21" s="29">
        <f t="shared" si="10"/>
        <v>0.860991816531674</v>
      </c>
      <c r="AD21" s="29">
        <f t="shared" si="11"/>
        <v>0.1337306506699725</v>
      </c>
      <c r="AE21" s="29">
        <f t="shared" si="12"/>
        <v>0.15066113244281007</v>
      </c>
      <c r="AF21" s="29">
        <f t="shared" si="13"/>
        <v>3.039820827595963E-2</v>
      </c>
      <c r="AG21" s="29">
        <f t="shared" si="14"/>
        <v>2.8146489144407059E-2</v>
      </c>
      <c r="AH21" s="30">
        <f t="shared" si="15"/>
        <v>1.1678377070185853E-3</v>
      </c>
      <c r="AI21" s="30">
        <f t="shared" si="16"/>
        <v>1.4766525743592947E-2</v>
      </c>
      <c r="AJ21" s="30">
        <f t="shared" si="17"/>
        <v>2.2322297262510225E-3</v>
      </c>
      <c r="AK21" s="30">
        <f t="shared" si="18"/>
        <v>2.5148330374870228E-3</v>
      </c>
      <c r="AL21" s="30">
        <f t="shared" si="19"/>
        <v>4.854392889805115E-4</v>
      </c>
      <c r="AM21" s="30">
        <f t="shared" si="20"/>
        <v>4.4948082313010313E-4</v>
      </c>
    </row>
    <row r="22" spans="1:39" x14ac:dyDescent="0.25">
      <c r="A22" s="24">
        <v>12</v>
      </c>
      <c r="B22" s="25">
        <f>[1]CG_Palmillas_Octubre!B22</f>
        <v>8704.5270833333325</v>
      </c>
      <c r="C22" s="25">
        <f>[1]CG_Palmillas_Octubre!C22</f>
        <v>0.60536541666666654</v>
      </c>
      <c r="D22" s="25">
        <f>[1]CG_Palmillas_Octubre!D22</f>
        <v>1.2041666666666671E-2</v>
      </c>
      <c r="E22" s="25">
        <f>[1]CG_Palmillas_Octubre!E22</f>
        <v>0.46041666666666664</v>
      </c>
      <c r="F22" s="25">
        <f>[1]CG_Palmillas_Octubre!F22</f>
        <v>5.2541666666666674E-2</v>
      </c>
      <c r="G22" s="25">
        <f>[1]CG_Palmillas_Octubre!G22</f>
        <v>5.2041666666666687E-2</v>
      </c>
      <c r="H22" s="25">
        <f>[1]CG_Palmillas_Octubre!H22</f>
        <v>4.916666666666669E-3</v>
      </c>
      <c r="I22" s="25">
        <f>[1]CG_Palmillas_Octubre!I22</f>
        <v>3.7916666666666689E-3</v>
      </c>
      <c r="J22" s="25">
        <f>[1]CG_Palmillas_Octubre!J22</f>
        <v>3.6752499999999997</v>
      </c>
      <c r="K22" s="25">
        <f>[1]CG_Palmillas_Octubre!K22</f>
        <v>89.962333333333319</v>
      </c>
      <c r="L22" s="25">
        <f>[1]CG_Palmillas_Octubre!L22</f>
        <v>0.15008333333333335</v>
      </c>
      <c r="M22" s="25">
        <f>[1]CG_Palmillas_Octubre!M22</f>
        <v>5.6267083333333341</v>
      </c>
      <c r="N22" s="25">
        <f t="shared" si="0"/>
        <v>11187.585758382749</v>
      </c>
      <c r="O22" s="25">
        <f t="shared" si="1"/>
        <v>46.840184053196893</v>
      </c>
      <c r="P22" s="26">
        <v>7.7420833333333334</v>
      </c>
      <c r="Q22" s="26">
        <v>-4.9946299999999999</v>
      </c>
      <c r="R22" s="27"/>
      <c r="S22" s="27"/>
      <c r="T22" s="25">
        <f t="shared" si="2"/>
        <v>3.825333333333333</v>
      </c>
      <c r="U22" s="25">
        <f t="shared" si="21"/>
        <v>1.9788777313439719E-2</v>
      </c>
      <c r="V22" s="28">
        <f t="shared" si="3"/>
        <v>5.0093669962795507E-4</v>
      </c>
      <c r="W22" s="28">
        <f t="shared" si="4"/>
        <v>1.9153462044598273E-2</v>
      </c>
      <c r="X22" s="28">
        <f t="shared" si="5"/>
        <v>2.1857480215600384E-3</v>
      </c>
      <c r="Y22" s="28">
        <f t="shared" si="6"/>
        <v>2.1649478817830996E-3</v>
      </c>
      <c r="Z22" s="28">
        <f t="shared" si="7"/>
        <v>2.045347078065699E-4</v>
      </c>
      <c r="AA22" s="28">
        <f t="shared" si="8"/>
        <v>1.5773439330845647E-4</v>
      </c>
      <c r="AB22" s="29">
        <f t="shared" si="9"/>
        <v>4.3165715406940891E-2</v>
      </c>
      <c r="AC22" s="29">
        <f t="shared" si="10"/>
        <v>0.84485921078722981</v>
      </c>
      <c r="AD22" s="29">
        <f t="shared" si="11"/>
        <v>0.12707938997350063</v>
      </c>
      <c r="AE22" s="29">
        <f t="shared" si="12"/>
        <v>0.12587006984686941</v>
      </c>
      <c r="AF22" s="29">
        <f t="shared" si="13"/>
        <v>1.476126986240015E-2</v>
      </c>
      <c r="AG22" s="29">
        <f t="shared" si="14"/>
        <v>1.1383691165071303E-2</v>
      </c>
      <c r="AH22" s="30">
        <f t="shared" si="15"/>
        <v>6.5918964321947499E-4</v>
      </c>
      <c r="AI22" s="30">
        <f t="shared" si="16"/>
        <v>1.4489841884974869E-2</v>
      </c>
      <c r="AJ22" s="30">
        <f t="shared" si="17"/>
        <v>2.1212069968368796E-3</v>
      </c>
      <c r="AK22" s="30">
        <f t="shared" si="18"/>
        <v>2.101021046034309E-3</v>
      </c>
      <c r="AL22" s="30">
        <f t="shared" si="19"/>
        <v>2.3572772057489855E-4</v>
      </c>
      <c r="AM22" s="30">
        <f t="shared" si="20"/>
        <v>1.817900217992862E-4</v>
      </c>
    </row>
    <row r="23" spans="1:39" x14ac:dyDescent="0.25">
      <c r="A23" s="24">
        <v>13</v>
      </c>
      <c r="B23" s="25">
        <f>[1]CG_Palmillas_Octubre!B23</f>
        <v>8627.8714166666668</v>
      </c>
      <c r="C23" s="25">
        <f>[1]CG_Palmillas_Octubre!C23</f>
        <v>0.60736666666666661</v>
      </c>
      <c r="D23" s="25">
        <f>[1]CG_Palmillas_Octubre!D23</f>
        <v>1.3416666666666669E-2</v>
      </c>
      <c r="E23" s="25">
        <f>[1]CG_Palmillas_Octubre!E23</f>
        <v>0.52720833333333317</v>
      </c>
      <c r="F23" s="25">
        <f>[1]CG_Palmillas_Octubre!F23</f>
        <v>4.9041666666666678E-2</v>
      </c>
      <c r="G23" s="25">
        <f>[1]CG_Palmillas_Octubre!G23</f>
        <v>5.350000000000002E-2</v>
      </c>
      <c r="H23" s="25">
        <f>[1]CG_Palmillas_Octubre!H23</f>
        <v>6.6250000000000024E-3</v>
      </c>
      <c r="I23" s="25">
        <f>[1]CG_Palmillas_Octubre!I23</f>
        <v>5.6666666666666679E-3</v>
      </c>
      <c r="J23" s="25">
        <f>[1]CG_Palmillas_Octubre!J23</f>
        <v>4.434499999999999</v>
      </c>
      <c r="K23" s="25">
        <f>[1]CG_Palmillas_Octubre!K23</f>
        <v>89.498374999999996</v>
      </c>
      <c r="L23" s="25">
        <f>[1]CG_Palmillas_Octubre!L23</f>
        <v>0.13225000000000001</v>
      </c>
      <c r="M23" s="25">
        <f>[1]CG_Palmillas_Octubre!M23</f>
        <v>5.2792916666666674</v>
      </c>
      <c r="N23" s="25">
        <f t="shared" si="0"/>
        <v>11070.779155756229</v>
      </c>
      <c r="O23" s="25">
        <f t="shared" si="1"/>
        <v>46.35113816932018</v>
      </c>
      <c r="P23" s="26">
        <v>10.153333333333334</v>
      </c>
      <c r="Q23" s="26">
        <v>-4.9946299999999999</v>
      </c>
      <c r="R23" s="27"/>
      <c r="S23" s="27"/>
      <c r="T23" s="25">
        <f t="shared" si="2"/>
        <v>4.566749999999999</v>
      </c>
      <c r="U23" s="25">
        <f t="shared" si="21"/>
        <v>2.2055434243188253E-2</v>
      </c>
      <c r="V23" s="28">
        <f t="shared" si="3"/>
        <v>5.5813708401453806E-4</v>
      </c>
      <c r="W23" s="28">
        <f t="shared" si="4"/>
        <v>2.1932014049801076E-2</v>
      </c>
      <c r="X23" s="28">
        <f t="shared" si="5"/>
        <v>2.0401470431214634E-3</v>
      </c>
      <c r="Y23" s="28">
        <f t="shared" si="6"/>
        <v>2.225614956132506E-3</v>
      </c>
      <c r="Z23" s="28">
        <f t="shared" si="7"/>
        <v>2.7560185204444584E-4</v>
      </c>
      <c r="AA23" s="28">
        <f t="shared" si="8"/>
        <v>2.3573491747197879E-4</v>
      </c>
      <c r="AB23" s="29">
        <f t="shared" si="9"/>
        <v>4.8094672529532742E-2</v>
      </c>
      <c r="AC23" s="29">
        <f t="shared" si="10"/>
        <v>0.9674211397367255</v>
      </c>
      <c r="AD23" s="29">
        <f t="shared" si="11"/>
        <v>0.11861414908708189</v>
      </c>
      <c r="AE23" s="29">
        <f t="shared" si="12"/>
        <v>0.1293972535495439</v>
      </c>
      <c r="AF23" s="29">
        <f t="shared" si="13"/>
        <v>1.9890185662047657E-2</v>
      </c>
      <c r="AG23" s="29">
        <f t="shared" si="14"/>
        <v>1.7012988993952708E-2</v>
      </c>
      <c r="AH23" s="30">
        <f t="shared" si="15"/>
        <v>7.3446043292965712E-4</v>
      </c>
      <c r="AI23" s="30">
        <f t="shared" si="16"/>
        <v>1.6591852431727328E-2</v>
      </c>
      <c r="AJ23" s="30">
        <f t="shared" si="17"/>
        <v>1.9799053412188801E-3</v>
      </c>
      <c r="AK23" s="30">
        <f t="shared" si="18"/>
        <v>2.1598967358751422E-3</v>
      </c>
      <c r="AL23" s="30">
        <f t="shared" si="19"/>
        <v>3.1763311501193959E-4</v>
      </c>
      <c r="AM23" s="30">
        <f t="shared" si="20"/>
        <v>2.7168618642530671E-4</v>
      </c>
    </row>
    <row r="24" spans="1:39" x14ac:dyDescent="0.25">
      <c r="A24" s="24">
        <v>14</v>
      </c>
      <c r="B24" s="25">
        <f>[1]CG_Palmillas_Octubre!B24</f>
        <v>8660.0981666666667</v>
      </c>
      <c r="C24" s="25">
        <f>[1]CG_Palmillas_Octubre!C24</f>
        <v>0.61292416666666671</v>
      </c>
      <c r="D24" s="25">
        <f>[1]CG_Palmillas_Octubre!D24</f>
        <v>1.4166666666666669E-2</v>
      </c>
      <c r="E24" s="25">
        <f>[1]CG_Palmillas_Octubre!E24</f>
        <v>0.47620833333333329</v>
      </c>
      <c r="F24" s="25">
        <f>[1]CG_Palmillas_Octubre!F24</f>
        <v>3.2583333333333346E-2</v>
      </c>
      <c r="G24" s="25">
        <f>[1]CG_Palmillas_Octubre!G24</f>
        <v>3.5208333333333348E-2</v>
      </c>
      <c r="H24" s="25">
        <f>[1]CG_Palmillas_Octubre!H24</f>
        <v>6.2916666666666676E-3</v>
      </c>
      <c r="I24" s="25">
        <f>[1]CG_Palmillas_Octubre!I24</f>
        <v>5.2083333333333348E-3</v>
      </c>
      <c r="J24" s="25">
        <f>[1]CG_Palmillas_Octubre!J24</f>
        <v>4.7542916666666661</v>
      </c>
      <c r="K24" s="25">
        <f>[1]CG_Palmillas_Octubre!K24</f>
        <v>88.175291666666681</v>
      </c>
      <c r="L24" s="25">
        <f>[1]CG_Palmillas_Octubre!L24</f>
        <v>0.11737500000000001</v>
      </c>
      <c r="M24" s="25">
        <f>[1]CG_Palmillas_Octubre!M24</f>
        <v>6.3834166666666663</v>
      </c>
      <c r="N24" s="25">
        <f t="shared" si="0"/>
        <v>11061.638015227998</v>
      </c>
      <c r="O24" s="25">
        <f t="shared" si="1"/>
        <v>46.312866042156585</v>
      </c>
      <c r="P24" s="26">
        <v>14.886249999999999</v>
      </c>
      <c r="Q24" s="26">
        <v>-4.9946299999999999</v>
      </c>
      <c r="R24" s="27"/>
      <c r="S24" s="27"/>
      <c r="T24" s="25">
        <f t="shared" si="2"/>
        <v>4.8716666666666661</v>
      </c>
      <c r="U24" s="25">
        <f t="shared" si="21"/>
        <v>1.9050582658832818E-2</v>
      </c>
      <c r="V24" s="28">
        <f t="shared" si="3"/>
        <v>5.89337293679947E-4</v>
      </c>
      <c r="W24" s="28">
        <f t="shared" si="4"/>
        <v>1.9810399792553272E-2</v>
      </c>
      <c r="X24" s="28">
        <f t="shared" si="5"/>
        <v>1.3554757754638783E-3</v>
      </c>
      <c r="Y24" s="28">
        <f t="shared" si="6"/>
        <v>1.4646765092928098E-3</v>
      </c>
      <c r="Z24" s="28">
        <f t="shared" si="7"/>
        <v>2.6173509219315293E-4</v>
      </c>
      <c r="AA24" s="28">
        <f t="shared" si="8"/>
        <v>2.166681226764511E-4</v>
      </c>
      <c r="AB24" s="29">
        <f t="shared" si="9"/>
        <v>5.0783194596401036E-2</v>
      </c>
      <c r="AC24" s="29">
        <f t="shared" si="10"/>
        <v>0.87383673484952484</v>
      </c>
      <c r="AD24" s="29">
        <f t="shared" si="11"/>
        <v>7.8807361585469887E-2</v>
      </c>
      <c r="AE24" s="29">
        <f t="shared" si="12"/>
        <v>8.5156292250283969E-2</v>
      </c>
      <c r="AF24" s="29">
        <f t="shared" si="13"/>
        <v>1.8889421603579849E-2</v>
      </c>
      <c r="AG24" s="29">
        <f t="shared" si="14"/>
        <v>1.5636938413559478E-2</v>
      </c>
      <c r="AH24" s="30">
        <f t="shared" si="15"/>
        <v>7.7551722731702944E-4</v>
      </c>
      <c r="AI24" s="30">
        <f t="shared" si="16"/>
        <v>1.4986823792160885E-2</v>
      </c>
      <c r="AJ24" s="30">
        <f t="shared" si="17"/>
        <v>1.3154511273009047E-3</v>
      </c>
      <c r="AK24" s="30">
        <f t="shared" si="18"/>
        <v>1.4214273690144048E-3</v>
      </c>
      <c r="AL24" s="30">
        <f t="shared" si="19"/>
        <v>3.0165157463398032E-4</v>
      </c>
      <c r="AM24" s="30">
        <f t="shared" si="20"/>
        <v>2.4971156840561284E-4</v>
      </c>
    </row>
    <row r="25" spans="1:39" x14ac:dyDescent="0.25">
      <c r="A25" s="24">
        <v>15</v>
      </c>
      <c r="B25" s="25">
        <f>[1]CG_Palmillas_Octubre!B25</f>
        <v>8579.3116250000003</v>
      </c>
      <c r="C25" s="25">
        <f>[1]CG_Palmillas_Octubre!C25</f>
        <v>0.60837458333333327</v>
      </c>
      <c r="D25" s="25">
        <f>[1]CG_Palmillas_Octubre!D25</f>
        <v>1.6625000000000004E-2</v>
      </c>
      <c r="E25" s="25">
        <f>[1]CG_Palmillas_Octubre!E25</f>
        <v>0.41533333333333333</v>
      </c>
      <c r="F25" s="25">
        <f>[1]CG_Palmillas_Octubre!F25</f>
        <v>3.7208333333333343E-2</v>
      </c>
      <c r="G25" s="25">
        <f>[1]CG_Palmillas_Octubre!G25</f>
        <v>4.2958333333333348E-2</v>
      </c>
      <c r="H25" s="25">
        <f>[1]CG_Palmillas_Octubre!H25</f>
        <v>8.0416666666666692E-3</v>
      </c>
      <c r="I25" s="25">
        <f>[1]CG_Palmillas_Octubre!I25</f>
        <v>7.1666666666666684E-3</v>
      </c>
      <c r="J25" s="25">
        <f>[1]CG_Palmillas_Octubre!J25</f>
        <v>4.8973749999999994</v>
      </c>
      <c r="K25" s="25">
        <f>[1]CG_Palmillas_Octubre!K25</f>
        <v>89.07479166666667</v>
      </c>
      <c r="L25" s="25">
        <f>[1]CG_Palmillas_Octubre!L25</f>
        <v>0.11787499999999999</v>
      </c>
      <c r="M25" s="25">
        <f>[1]CG_Palmillas_Octubre!M25</f>
        <v>5.3822916666666663</v>
      </c>
      <c r="N25" s="25">
        <f t="shared" si="0"/>
        <v>10999.347226053476</v>
      </c>
      <c r="O25" s="25">
        <f t="shared" si="1"/>
        <v>46.052066966040698</v>
      </c>
      <c r="P25" s="26">
        <v>13.834810306628547</v>
      </c>
      <c r="Q25" s="26">
        <v>-4.9899999999999984</v>
      </c>
      <c r="R25" s="27"/>
      <c r="S25" s="27"/>
      <c r="T25" s="25">
        <f t="shared" si="2"/>
        <v>5.0152499999999991</v>
      </c>
      <c r="U25" s="25">
        <f t="shared" si="21"/>
        <v>1.7946748382374752E-2</v>
      </c>
      <c r="V25" s="28">
        <f t="shared" si="3"/>
        <v>6.9160464758323201E-4</v>
      </c>
      <c r="W25" s="28">
        <f t="shared" si="4"/>
        <v>1.7277982774710914E-2</v>
      </c>
      <c r="X25" s="28">
        <f t="shared" si="5"/>
        <v>1.5478770684005667E-3</v>
      </c>
      <c r="Y25" s="28">
        <f t="shared" si="6"/>
        <v>1.7870786758353689E-3</v>
      </c>
      <c r="Z25" s="28">
        <f t="shared" si="7"/>
        <v>3.3453558141244055E-4</v>
      </c>
      <c r="AA25" s="28">
        <f t="shared" si="8"/>
        <v>2.9813533680279674E-4</v>
      </c>
      <c r="AB25" s="29">
        <f t="shared" si="9"/>
        <v>5.9595572482247103E-2</v>
      </c>
      <c r="AC25" s="29">
        <f t="shared" si="10"/>
        <v>0.76213182019249837</v>
      </c>
      <c r="AD25" s="29">
        <f t="shared" si="11"/>
        <v>8.9993572756808943E-2</v>
      </c>
      <c r="AE25" s="29">
        <f t="shared" si="12"/>
        <v>0.10390075421306835</v>
      </c>
      <c r="AF25" s="29">
        <f t="shared" si="13"/>
        <v>2.4143432910535834E-2</v>
      </c>
      <c r="AG25" s="29">
        <f t="shared" si="14"/>
        <v>2.1516427257057841E-2</v>
      </c>
      <c r="AH25" s="30">
        <f t="shared" si="15"/>
        <v>9.100922755867491E-4</v>
      </c>
      <c r="AI25" s="30">
        <f t="shared" si="16"/>
        <v>1.307101754836466E-2</v>
      </c>
      <c r="AJ25" s="30">
        <f t="shared" si="17"/>
        <v>1.5021711722246896E-3</v>
      </c>
      <c r="AK25" s="30">
        <f t="shared" si="18"/>
        <v>1.7343096064542612E-3</v>
      </c>
      <c r="AL25" s="30">
        <f t="shared" si="19"/>
        <v>3.8555466161826622E-4</v>
      </c>
      <c r="AM25" s="30">
        <f t="shared" si="20"/>
        <v>3.436031181261233E-4</v>
      </c>
    </row>
    <row r="26" spans="1:39" x14ac:dyDescent="0.25">
      <c r="A26" s="24">
        <v>16</v>
      </c>
      <c r="B26" s="25">
        <f>[1]CG_Palmillas_Octubre!B26</f>
        <v>8610.3517083333336</v>
      </c>
      <c r="C26" s="25">
        <f>[1]CG_Palmillas_Octubre!C26</f>
        <v>0.60619124999999985</v>
      </c>
      <c r="D26" s="25">
        <f>[1]CG_Palmillas_Octubre!D26</f>
        <v>1.8375000000000009E-2</v>
      </c>
      <c r="E26" s="25">
        <f>[1]CG_Palmillas_Octubre!E26</f>
        <v>0.36966666666666664</v>
      </c>
      <c r="F26" s="25">
        <f>[1]CG_Palmillas_Octubre!F26</f>
        <v>2.8750000000000015E-2</v>
      </c>
      <c r="G26" s="25">
        <f>[1]CG_Palmillas_Octubre!G26</f>
        <v>3.9666666666666676E-2</v>
      </c>
      <c r="H26" s="25">
        <f>[1]CG_Palmillas_Octubre!H26</f>
        <v>8.5416666666666714E-3</v>
      </c>
      <c r="I26" s="25">
        <f>[1]CG_Palmillas_Octubre!I26</f>
        <v>7.3333333333333367E-3</v>
      </c>
      <c r="J26" s="25">
        <f>[1]CG_Palmillas_Octubre!J26</f>
        <v>4.4594166666666668</v>
      </c>
      <c r="K26" s="25">
        <f>[1]CG_Palmillas_Octubre!K26</f>
        <v>89.534958333333336</v>
      </c>
      <c r="L26" s="25">
        <f>[1]CG_Palmillas_Octubre!L26</f>
        <v>0.12575</v>
      </c>
      <c r="M26" s="25">
        <f>[1]CG_Palmillas_Octubre!M26</f>
        <v>5.4080416666666657</v>
      </c>
      <c r="N26" s="25">
        <f t="shared" si="0"/>
        <v>11059.005138595428</v>
      </c>
      <c r="O26" s="25">
        <f t="shared" si="1"/>
        <v>46.301842714271338</v>
      </c>
      <c r="P26" s="26">
        <v>13.409000000000001</v>
      </c>
      <c r="Q26" s="26">
        <v>-4.9899999999999984</v>
      </c>
      <c r="R26" s="27"/>
      <c r="S26" s="27"/>
      <c r="T26" s="25">
        <f t="shared" si="2"/>
        <v>4.5851666666666668</v>
      </c>
      <c r="U26" s="25">
        <f t="shared" si="21"/>
        <v>1.6162958298849905E-2</v>
      </c>
      <c r="V26" s="28">
        <f t="shared" si="3"/>
        <v>7.6440513680251974E-4</v>
      </c>
      <c r="W26" s="28">
        <f t="shared" si="4"/>
        <v>1.5378236675083789E-2</v>
      </c>
      <c r="X26" s="28">
        <f t="shared" si="5"/>
        <v>1.1960080371740105E-3</v>
      </c>
      <c r="Y26" s="28">
        <f t="shared" si="6"/>
        <v>1.6501444223038517E-3</v>
      </c>
      <c r="Z26" s="28">
        <f t="shared" si="7"/>
        <v>3.5533572118937994E-4</v>
      </c>
      <c r="AA26" s="28">
        <f t="shared" si="8"/>
        <v>3.0506871672844322E-4</v>
      </c>
      <c r="AB26" s="29">
        <f t="shared" si="9"/>
        <v>6.5868790638273125E-2</v>
      </c>
      <c r="AC26" s="29">
        <f t="shared" si="10"/>
        <v>0.67833401973794594</v>
      </c>
      <c r="AD26" s="29">
        <f t="shared" si="11"/>
        <v>6.953590728129698E-2</v>
      </c>
      <c r="AE26" s="29">
        <f t="shared" si="12"/>
        <v>9.5939396712745942E-2</v>
      </c>
      <c r="AF26" s="29">
        <f t="shared" si="13"/>
        <v>2.5644578998237549E-2</v>
      </c>
      <c r="AG26" s="29">
        <f t="shared" si="14"/>
        <v>2.2016809286291749E-2</v>
      </c>
      <c r="AH26" s="30">
        <f t="shared" si="15"/>
        <v>1.0058914624906177E-3</v>
      </c>
      <c r="AI26" s="30">
        <f t="shared" si="16"/>
        <v>1.1633835041040456E-2</v>
      </c>
      <c r="AJ26" s="30">
        <f t="shared" si="17"/>
        <v>1.1606921711478572E-3</v>
      </c>
      <c r="AK26" s="30">
        <f t="shared" si="18"/>
        <v>1.6014187636706661E-3</v>
      </c>
      <c r="AL26" s="30">
        <f t="shared" si="19"/>
        <v>4.0952697218520518E-4</v>
      </c>
      <c r="AM26" s="30">
        <f t="shared" si="20"/>
        <v>3.5159388831510299E-4</v>
      </c>
    </row>
    <row r="27" spans="1:39" x14ac:dyDescent="0.25">
      <c r="A27" s="24">
        <v>17</v>
      </c>
      <c r="B27" s="25">
        <f>[1]CG_Palmillas_Octubre!B27</f>
        <v>8643.3675833333327</v>
      </c>
      <c r="C27" s="25">
        <f>[1]CG_Palmillas_Octubre!C27</f>
        <v>0.60770625</v>
      </c>
      <c r="D27" s="25">
        <f>[1]CG_Palmillas_Octubre!D27</f>
        <v>1.5458333333333338E-2</v>
      </c>
      <c r="E27" s="25">
        <f>[1]CG_Palmillas_Octubre!E27</f>
        <v>0.39787499999999998</v>
      </c>
      <c r="F27" s="25">
        <f>[1]CG_Palmillas_Octubre!F27</f>
        <v>2.6291666666666682E-2</v>
      </c>
      <c r="G27" s="25">
        <f>[1]CG_Palmillas_Octubre!G27</f>
        <v>4.0500000000000015E-2</v>
      </c>
      <c r="H27" s="25">
        <f>[1]CG_Palmillas_Octubre!H27</f>
        <v>7.4166666666666695E-3</v>
      </c>
      <c r="I27" s="25">
        <f>[1]CG_Palmillas_Octubre!I27</f>
        <v>6.2916666666666702E-3</v>
      </c>
      <c r="J27" s="25">
        <f>[1]CG_Palmillas_Octubre!J27</f>
        <v>4.3920833333333329</v>
      </c>
      <c r="K27" s="25">
        <f>[1]CG_Palmillas_Octubre!K27</f>
        <v>89.227208333333337</v>
      </c>
      <c r="L27" s="25">
        <f>[1]CG_Palmillas_Octubre!L27</f>
        <v>0.11</v>
      </c>
      <c r="M27" s="25">
        <f>[1]CG_Palmillas_Octubre!M27</f>
        <v>5.7767083333333327</v>
      </c>
      <c r="N27" s="25">
        <f t="shared" si="0"/>
        <v>11087.563791420615</v>
      </c>
      <c r="O27" s="25">
        <f t="shared" si="1"/>
        <v>46.421412081919833</v>
      </c>
      <c r="P27" s="26">
        <v>10.981666666666667</v>
      </c>
      <c r="Q27" s="31">
        <v>-4.9899999999999984</v>
      </c>
      <c r="R27" s="27"/>
      <c r="S27" s="27"/>
      <c r="T27" s="25">
        <f t="shared" si="2"/>
        <v>4.5020833333333332</v>
      </c>
      <c r="U27" s="25">
        <f t="shared" si="21"/>
        <v>1.672155731859085E-2</v>
      </c>
      <c r="V27" s="28">
        <f t="shared" si="3"/>
        <v>6.4307098810370696E-4</v>
      </c>
      <c r="W27" s="28">
        <f t="shared" si="4"/>
        <v>1.6551711227499447E-2</v>
      </c>
      <c r="X27" s="28">
        <f t="shared" si="5"/>
        <v>1.0937406832707255E-3</v>
      </c>
      <c r="Y27" s="28">
        <f t="shared" si="6"/>
        <v>1.6848113219320841E-3</v>
      </c>
      <c r="Z27" s="28">
        <f t="shared" si="7"/>
        <v>3.0853540669126641E-4</v>
      </c>
      <c r="AA27" s="28">
        <f t="shared" si="8"/>
        <v>2.6173509219315304E-4</v>
      </c>
      <c r="AB27" s="29">
        <f t="shared" si="9"/>
        <v>5.5413427044896428E-2</v>
      </c>
      <c r="AC27" s="29">
        <f t="shared" si="10"/>
        <v>0.73009598224500061</v>
      </c>
      <c r="AD27" s="29">
        <f t="shared" si="11"/>
        <v>6.3590083325359981E-2</v>
      </c>
      <c r="AE27" s="29">
        <f t="shared" si="12"/>
        <v>9.7954930257131367E-2</v>
      </c>
      <c r="AF27" s="29">
        <f t="shared" si="13"/>
        <v>2.2267000300908696E-2</v>
      </c>
      <c r="AG27" s="29">
        <f t="shared" si="14"/>
        <v>1.8889421603579856E-2</v>
      </c>
      <c r="AH27" s="30">
        <f t="shared" si="15"/>
        <v>8.4622615098417031E-4</v>
      </c>
      <c r="AI27" s="30">
        <f t="shared" si="16"/>
        <v>1.2521583724852943E-2</v>
      </c>
      <c r="AJ27" s="30">
        <f t="shared" si="17"/>
        <v>1.0614445797018808E-3</v>
      </c>
      <c r="AK27" s="30">
        <f t="shared" si="18"/>
        <v>1.6350620150082853E-3</v>
      </c>
      <c r="AL27" s="30">
        <f t="shared" si="19"/>
        <v>3.5558927340959272E-4</v>
      </c>
      <c r="AM27" s="30">
        <f t="shared" si="20"/>
        <v>3.0165157463398043E-4</v>
      </c>
    </row>
    <row r="28" spans="1:39" x14ac:dyDescent="0.25">
      <c r="A28" s="24">
        <v>18</v>
      </c>
      <c r="B28" s="25">
        <f>[1]CG_Palmillas_Octubre!B28</f>
        <v>8580.45975</v>
      </c>
      <c r="C28" s="25">
        <f>[1]CG_Palmillas_Octubre!C28</f>
        <v>0.61012666666666659</v>
      </c>
      <c r="D28" s="25">
        <f>[1]CG_Palmillas_Octubre!D28</f>
        <v>2.3250000000000007E-2</v>
      </c>
      <c r="E28" s="25">
        <f>[1]CG_Palmillas_Octubre!E28</f>
        <v>0.46550000000000008</v>
      </c>
      <c r="F28" s="25">
        <f>[1]CG_Palmillas_Octubre!F28</f>
        <v>3.8291666666666675E-2</v>
      </c>
      <c r="G28" s="25">
        <f>[1]CG_Palmillas_Octubre!G28</f>
        <v>6.7541666666666667E-2</v>
      </c>
      <c r="H28" s="25">
        <f>[1]CG_Palmillas_Octubre!H28</f>
        <v>1.4083333333333338E-2</v>
      </c>
      <c r="I28" s="25">
        <f>[1]CG_Palmillas_Octubre!I28</f>
        <v>1.4000000000000004E-2</v>
      </c>
      <c r="J28" s="25">
        <f>[1]CG_Palmillas_Octubre!J28</f>
        <v>5.0810416666666667</v>
      </c>
      <c r="K28" s="25">
        <f>[1]CG_Palmillas_Octubre!K28</f>
        <v>88.836375000000018</v>
      </c>
      <c r="L28" s="25">
        <f>[1]CG_Palmillas_Octubre!L28</f>
        <v>9.9625000000000019E-2</v>
      </c>
      <c r="M28" s="25">
        <f>[1]CG_Palmillas_Octubre!M28</f>
        <v>5.3608749999999992</v>
      </c>
      <c r="N28" s="25">
        <f t="shared" si="0"/>
        <v>10985.012486577061</v>
      </c>
      <c r="O28" s="25">
        <f t="shared" si="1"/>
        <v>45.992050278800839</v>
      </c>
      <c r="P28" s="26">
        <v>20.105416666666667</v>
      </c>
      <c r="Q28" s="26">
        <v>-4.9899999999999984</v>
      </c>
      <c r="R28" s="27"/>
      <c r="S28" s="27"/>
      <c r="T28" s="25">
        <f t="shared" si="2"/>
        <v>5.1806666666666663</v>
      </c>
      <c r="U28" s="25">
        <f t="shared" si="21"/>
        <v>2.154171855249748E-2</v>
      </c>
      <c r="V28" s="28">
        <f t="shared" si="3"/>
        <v>9.6720649962767785E-4</v>
      </c>
      <c r="W28" s="28">
        <f t="shared" si="4"/>
        <v>1.9364930132330493E-2</v>
      </c>
      <c r="X28" s="28">
        <f t="shared" si="5"/>
        <v>1.5929440379172685E-3</v>
      </c>
      <c r="Y28" s="28">
        <f t="shared" si="6"/>
        <v>2.8097522148682174E-3</v>
      </c>
      <c r="Z28" s="28">
        <f t="shared" si="7"/>
        <v>5.8587060371712387E-4</v>
      </c>
      <c r="AA28" s="28">
        <f t="shared" si="8"/>
        <v>5.8240391375430063E-4</v>
      </c>
      <c r="AB28" s="29">
        <f t="shared" si="9"/>
        <v>8.3344184072917007E-2</v>
      </c>
      <c r="AC28" s="29">
        <f t="shared" si="10"/>
        <v>0.85418706813709799</v>
      </c>
      <c r="AD28" s="29">
        <f t="shared" si="11"/>
        <v>9.2613766364509992E-2</v>
      </c>
      <c r="AE28" s="29">
        <f t="shared" si="12"/>
        <v>0.16335899377243815</v>
      </c>
      <c r="AF28" s="29">
        <f t="shared" si="13"/>
        <v>4.2282281470264832E-2</v>
      </c>
      <c r="AG28" s="29">
        <f t="shared" si="14"/>
        <v>4.2032090455647875E-2</v>
      </c>
      <c r="AH28" s="30">
        <f t="shared" si="15"/>
        <v>1.2727606260085366E-3</v>
      </c>
      <c r="AI28" s="30">
        <f t="shared" si="16"/>
        <v>1.4649820229768261E-2</v>
      </c>
      <c r="AJ28" s="30">
        <f t="shared" si="17"/>
        <v>1.5459073989635946E-3</v>
      </c>
      <c r="AK28" s="30">
        <f t="shared" si="18"/>
        <v>2.7267855209140222E-3</v>
      </c>
      <c r="AL28" s="30">
        <f t="shared" si="19"/>
        <v>6.7522008096877729E-4</v>
      </c>
      <c r="AM28" s="30">
        <f t="shared" si="20"/>
        <v>6.7122469587428723E-4</v>
      </c>
    </row>
    <row r="29" spans="1:39" x14ac:dyDescent="0.25">
      <c r="A29" s="24">
        <v>19</v>
      </c>
      <c r="B29" s="25">
        <f>[1]CG_Palmillas_Octubre!B29</f>
        <v>8457.6271666666671</v>
      </c>
      <c r="C29" s="25">
        <f>[1]CG_Palmillas_Octubre!C29</f>
        <v>0.61344708333333342</v>
      </c>
      <c r="D29" s="25">
        <f>[1]CG_Palmillas_Octubre!D29</f>
        <v>2.1083333333333343E-2</v>
      </c>
      <c r="E29" s="25">
        <f>[1]CG_Palmillas_Octubre!E29</f>
        <v>0.40558333333333324</v>
      </c>
      <c r="F29" s="25">
        <f>[1]CG_Palmillas_Octubre!F29</f>
        <v>3.1208333333333348E-2</v>
      </c>
      <c r="G29" s="25">
        <f>[1]CG_Palmillas_Octubre!G29</f>
        <v>5.4125E-2</v>
      </c>
      <c r="H29" s="25">
        <f>[1]CG_Palmillas_Octubre!H29</f>
        <v>1.2375000000000004E-2</v>
      </c>
      <c r="I29" s="25">
        <f>[1]CG_Palmillas_Octubre!I29</f>
        <v>1.2458333333333337E-2</v>
      </c>
      <c r="J29" s="25">
        <f>[1]CG_Palmillas_Octubre!J29</f>
        <v>6.3032916666666665</v>
      </c>
      <c r="K29" s="25">
        <f>[1]CG_Palmillas_Octubre!K29</f>
        <v>87.826416666666674</v>
      </c>
      <c r="L29" s="25">
        <f>[1]CG_Palmillas_Octubre!L29</f>
        <v>7.5874999999999998E-2</v>
      </c>
      <c r="M29" s="25">
        <f>[1]CG_Palmillas_Octubre!M29</f>
        <v>5.2572916666666663</v>
      </c>
      <c r="N29" s="25">
        <f t="shared" si="0"/>
        <v>10798.41423942899</v>
      </c>
      <c r="O29" s="25">
        <f t="shared" si="1"/>
        <v>45.2108007376413</v>
      </c>
      <c r="P29" s="26">
        <v>14.382083333333332</v>
      </c>
      <c r="Q29" s="26">
        <v>-4.9899999999999984</v>
      </c>
      <c r="R29" s="27"/>
      <c r="S29" s="27"/>
      <c r="T29" s="25">
        <f t="shared" si="2"/>
        <v>6.3791666666666664</v>
      </c>
      <c r="U29" s="25">
        <f t="shared" si="21"/>
        <v>1.855401964187892E-2</v>
      </c>
      <c r="V29" s="28">
        <f t="shared" si="3"/>
        <v>8.7707256059427424E-4</v>
      </c>
      <c r="W29" s="28">
        <f t="shared" si="4"/>
        <v>1.6872380049060592E-2</v>
      </c>
      <c r="X29" s="28">
        <f t="shared" si="5"/>
        <v>1.2982753910772953E-3</v>
      </c>
      <c r="Y29" s="28">
        <f t="shared" si="6"/>
        <v>2.2516151308536792E-3</v>
      </c>
      <c r="Z29" s="28">
        <f t="shared" si="7"/>
        <v>5.1480345947924793E-4</v>
      </c>
      <c r="AA29" s="28">
        <f t="shared" si="8"/>
        <v>5.1827014944207106E-4</v>
      </c>
      <c r="AB29" s="29">
        <f t="shared" si="9"/>
        <v>7.5577342546408618E-2</v>
      </c>
      <c r="AC29" s="29">
        <f t="shared" si="10"/>
        <v>0.74424068396406273</v>
      </c>
      <c r="AD29" s="29">
        <f t="shared" si="11"/>
        <v>7.5481731237233951E-2</v>
      </c>
      <c r="AE29" s="29">
        <f t="shared" si="12"/>
        <v>0.13090890370783292</v>
      </c>
      <c r="AF29" s="29">
        <f t="shared" si="13"/>
        <v>3.7153365670617326E-2</v>
      </c>
      <c r="AG29" s="29">
        <f t="shared" si="14"/>
        <v>3.740355668523427E-2</v>
      </c>
      <c r="AH29" s="30">
        <f t="shared" si="15"/>
        <v>1.1541521088894616E-3</v>
      </c>
      <c r="AI29" s="30">
        <f t="shared" si="16"/>
        <v>1.2764173837859306E-2</v>
      </c>
      <c r="AJ29" s="30">
        <f t="shared" si="17"/>
        <v>1.259939762593833E-3</v>
      </c>
      <c r="AK29" s="30">
        <f t="shared" si="18"/>
        <v>2.1851291743783556E-3</v>
      </c>
      <c r="AL29" s="30">
        <f t="shared" si="19"/>
        <v>5.9331468653173625E-4</v>
      </c>
      <c r="AM29" s="30">
        <f t="shared" si="20"/>
        <v>5.9731007162622599E-4</v>
      </c>
    </row>
    <row r="30" spans="1:39" x14ac:dyDescent="0.25">
      <c r="A30" s="24">
        <v>20</v>
      </c>
      <c r="B30" s="25">
        <f>[1]CG_Palmillas_Octubre!B30</f>
        <v>8382.9538749999974</v>
      </c>
      <c r="C30" s="25">
        <f>[1]CG_Palmillas_Octubre!C30</f>
        <v>0.61417250000000001</v>
      </c>
      <c r="D30" s="25">
        <f>[1]CG_Palmillas_Octubre!D30</f>
        <v>1.7208333333333336E-2</v>
      </c>
      <c r="E30" s="25">
        <f>[1]CG_Palmillas_Octubre!E30</f>
        <v>0.35245833333333337</v>
      </c>
      <c r="F30" s="25">
        <f>[1]CG_Palmillas_Octubre!F30</f>
        <v>2.4625000000000008E-2</v>
      </c>
      <c r="G30" s="25">
        <f>[1]CG_Palmillas_Octubre!G30</f>
        <v>4.1000000000000016E-2</v>
      </c>
      <c r="H30" s="25">
        <f>[1]CG_Palmillas_Octubre!H30</f>
        <v>1.041666666666667E-2</v>
      </c>
      <c r="I30" s="25">
        <f>[1]CG_Palmillas_Octubre!I30</f>
        <v>1.0500000000000002E-2</v>
      </c>
      <c r="J30" s="25">
        <f>[1]CG_Palmillas_Octubre!J30</f>
        <v>6.9343333333333348</v>
      </c>
      <c r="K30" s="25">
        <f>[1]CG_Palmillas_Octubre!K30</f>
        <v>87.437291666666667</v>
      </c>
      <c r="L30" s="25">
        <f>[1]CG_Palmillas_Octubre!L30</f>
        <v>5.5125000000000028E-2</v>
      </c>
      <c r="M30" s="25">
        <f>[1]CG_Palmillas_Octubre!M30</f>
        <v>5.1169999999999991</v>
      </c>
      <c r="N30" s="25">
        <f t="shared" si="0"/>
        <v>10696.751168673774</v>
      </c>
      <c r="O30" s="25">
        <f t="shared" si="1"/>
        <v>44.785157793003357</v>
      </c>
      <c r="P30" s="26">
        <v>15.485416666666671</v>
      </c>
      <c r="Q30" s="26">
        <v>-4.9899999999999984</v>
      </c>
      <c r="R30" s="27"/>
      <c r="S30" s="27"/>
      <c r="T30" s="25">
        <f t="shared" si="2"/>
        <v>6.9894583333333351</v>
      </c>
      <c r="U30" s="25">
        <f t="shared" si="21"/>
        <v>1.5686542044420076E-2</v>
      </c>
      <c r="V30" s="28">
        <f t="shared" si="3"/>
        <v>7.1587147732299437E-4</v>
      </c>
      <c r="W30" s="28">
        <f t="shared" si="4"/>
        <v>1.4662365197760797E-2</v>
      </c>
      <c r="X30" s="28">
        <f t="shared" si="5"/>
        <v>1.0244068840142609E-3</v>
      </c>
      <c r="Y30" s="28">
        <f t="shared" si="6"/>
        <v>1.7056114617090233E-3</v>
      </c>
      <c r="Z30" s="28">
        <f t="shared" si="7"/>
        <v>4.3333624535290221E-4</v>
      </c>
      <c r="AA30" s="28">
        <f t="shared" si="8"/>
        <v>4.3680293531572545E-4</v>
      </c>
      <c r="AB30" s="29">
        <f t="shared" si="9"/>
        <v>6.1686645200922423E-2</v>
      </c>
      <c r="AC30" s="29">
        <f t="shared" si="10"/>
        <v>0.64675692887322878</v>
      </c>
      <c r="AD30" s="29">
        <f t="shared" si="11"/>
        <v>5.955901623658913E-2</v>
      </c>
      <c r="AE30" s="29">
        <f t="shared" si="12"/>
        <v>9.9164250383762614E-2</v>
      </c>
      <c r="AF30" s="29">
        <f t="shared" si="13"/>
        <v>3.1273876827118956E-2</v>
      </c>
      <c r="AG30" s="29">
        <f t="shared" si="14"/>
        <v>3.1524067841735906E-2</v>
      </c>
      <c r="AH30" s="30">
        <f t="shared" si="15"/>
        <v>9.4202533788803838E-4</v>
      </c>
      <c r="AI30" s="30">
        <f t="shared" si="16"/>
        <v>1.1092269004977597E-2</v>
      </c>
      <c r="AJ30" s="30">
        <f t="shared" si="17"/>
        <v>9.9415807702664264E-4</v>
      </c>
      <c r="AK30" s="30">
        <f t="shared" si="18"/>
        <v>1.6552479658108565E-3</v>
      </c>
      <c r="AL30" s="30">
        <f t="shared" si="19"/>
        <v>4.9942313681122568E-4</v>
      </c>
      <c r="AM30" s="30">
        <f t="shared" si="20"/>
        <v>5.0341852190571542E-4</v>
      </c>
    </row>
    <row r="31" spans="1:39" x14ac:dyDescent="0.25">
      <c r="A31" s="24">
        <v>21</v>
      </c>
      <c r="B31" s="25">
        <f>[1]CG_Palmillas_Octubre!B31</f>
        <v>8408.2440000000006</v>
      </c>
      <c r="C31" s="25">
        <f>[1]CG_Palmillas_Octubre!C31</f>
        <v>0.6190699999999999</v>
      </c>
      <c r="D31" s="25">
        <f>[1]CG_Palmillas_Octubre!D31</f>
        <v>1.795833333333334E-2</v>
      </c>
      <c r="E31" s="25">
        <f>[1]CG_Palmillas_Octubre!E31</f>
        <v>0.40979166666666672</v>
      </c>
      <c r="F31" s="25">
        <f>[1]CG_Palmillas_Octubre!F31</f>
        <v>2.0375000000000008E-2</v>
      </c>
      <c r="G31" s="25">
        <f>[1]CG_Palmillas_Octubre!G31</f>
        <v>3.2291666666666684E-2</v>
      </c>
      <c r="H31" s="25">
        <f>[1]CG_Palmillas_Octubre!H31</f>
        <v>9.3333333333333376E-3</v>
      </c>
      <c r="I31" s="25">
        <f>[1]CG_Palmillas_Octubre!I31</f>
        <v>9.3333333333333376E-3</v>
      </c>
      <c r="J31" s="25">
        <f>[1]CG_Palmillas_Octubre!J31</f>
        <v>7.2340416666666654</v>
      </c>
      <c r="K31" s="25">
        <f>[1]CG_Palmillas_Octubre!K31</f>
        <v>86.403958333333321</v>
      </c>
      <c r="L31" s="25">
        <f>[1]CG_Palmillas_Octubre!L31</f>
        <v>4.3958333333333342E-2</v>
      </c>
      <c r="M31" s="25">
        <f>[1]CG_Palmillas_Octubre!M31</f>
        <v>5.8191250000000005</v>
      </c>
      <c r="N31" s="25">
        <f t="shared" si="0"/>
        <v>10686.498440149997</v>
      </c>
      <c r="O31" s="25">
        <f t="shared" si="1"/>
        <v>44.742231669220011</v>
      </c>
      <c r="P31" s="26">
        <v>15.182499999999999</v>
      </c>
      <c r="Q31" s="26">
        <v>-4.9899999999999984</v>
      </c>
      <c r="R31" s="27"/>
      <c r="S31" s="27"/>
      <c r="T31" s="25">
        <f t="shared" si="2"/>
        <v>7.2779999999999987</v>
      </c>
      <c r="U31" s="25">
        <f t="shared" si="21"/>
        <v>1.6900916804560358E-2</v>
      </c>
      <c r="V31" s="28">
        <f t="shared" si="3"/>
        <v>7.4707168698840353E-4</v>
      </c>
      <c r="W31" s="28">
        <f t="shared" si="4"/>
        <v>1.7047447892183171E-2</v>
      </c>
      <c r="X31" s="28">
        <f t="shared" si="5"/>
        <v>8.4760569591027686E-4</v>
      </c>
      <c r="Y31" s="28">
        <f t="shared" si="6"/>
        <v>1.3433423605939973E-3</v>
      </c>
      <c r="Z31" s="28">
        <f t="shared" si="7"/>
        <v>3.8826927583620046E-4</v>
      </c>
      <c r="AA31" s="28">
        <f t="shared" si="8"/>
        <v>3.8826927583620046E-4</v>
      </c>
      <c r="AB31" s="29">
        <f t="shared" si="9"/>
        <v>6.4375167267790731E-2</v>
      </c>
      <c r="AC31" s="29">
        <f t="shared" si="10"/>
        <v>0.75196292652419972</v>
      </c>
      <c r="AD31" s="29">
        <f t="shared" si="11"/>
        <v>4.9279795160223495E-2</v>
      </c>
      <c r="AE31" s="29">
        <f t="shared" si="12"/>
        <v>7.8101924844935E-2</v>
      </c>
      <c r="AF31" s="29">
        <f t="shared" si="13"/>
        <v>2.8021393637098588E-2</v>
      </c>
      <c r="AG31" s="29">
        <f t="shared" si="14"/>
        <v>2.8021393637098588E-2</v>
      </c>
      <c r="AH31" s="30">
        <f t="shared" si="15"/>
        <v>9.8308213227541082E-4</v>
      </c>
      <c r="AI31" s="30">
        <f t="shared" si="16"/>
        <v>1.2896614926581708E-2</v>
      </c>
      <c r="AJ31" s="30">
        <f t="shared" si="17"/>
        <v>8.2257749520478539E-4</v>
      </c>
      <c r="AK31" s="30">
        <f t="shared" si="18"/>
        <v>1.3036759893327379E-3</v>
      </c>
      <c r="AL31" s="30">
        <f t="shared" si="19"/>
        <v>4.4748313058285831E-4</v>
      </c>
      <c r="AM31" s="30">
        <f t="shared" si="20"/>
        <v>4.4748313058285831E-4</v>
      </c>
    </row>
    <row r="32" spans="1:39" x14ac:dyDescent="0.25">
      <c r="A32" s="24">
        <v>22</v>
      </c>
      <c r="B32" s="25">
        <f>[1]CG_Palmillas_Octubre!B32</f>
        <v>8414.5101666666687</v>
      </c>
      <c r="C32" s="25">
        <f>[1]CG_Palmillas_Octubre!C32</f>
        <v>0.61950958333333328</v>
      </c>
      <c r="D32" s="25">
        <f>[1]CG_Palmillas_Octubre!D32</f>
        <v>3.1666666666666676E-2</v>
      </c>
      <c r="E32" s="25">
        <f>[1]CG_Palmillas_Octubre!E32</f>
        <v>0.46020833333333333</v>
      </c>
      <c r="F32" s="25">
        <f>[1]CG_Palmillas_Octubre!F32</f>
        <v>4.0375000000000015E-2</v>
      </c>
      <c r="G32" s="25">
        <f>[1]CG_Palmillas_Octubre!G32</f>
        <v>7.6375000000000012E-2</v>
      </c>
      <c r="H32" s="25">
        <f>[1]CG_Palmillas_Octubre!H32</f>
        <v>2.0625000000000008E-2</v>
      </c>
      <c r="I32" s="25">
        <f>[1]CG_Palmillas_Octubre!I32</f>
        <v>2.2333333333333344E-2</v>
      </c>
      <c r="J32" s="25">
        <f>[1]CG_Palmillas_Octubre!J32</f>
        <v>7.2372916666666667</v>
      </c>
      <c r="K32" s="25">
        <f>[1]CG_Palmillas_Octubre!K32</f>
        <v>86.621125000000006</v>
      </c>
      <c r="L32" s="25">
        <f>[1]CG_Palmillas_Octubre!L32</f>
        <v>3.8333333333333344E-2</v>
      </c>
      <c r="M32" s="25">
        <f>[1]CG_Palmillas_Octubre!M32</f>
        <v>5.452208333333334</v>
      </c>
      <c r="N32" s="25">
        <f t="shared" si="0"/>
        <v>10690.667564832071</v>
      </c>
      <c r="O32" s="25">
        <f t="shared" si="1"/>
        <v>44.759686960438913</v>
      </c>
      <c r="P32" s="26">
        <v>16.626666666666665</v>
      </c>
      <c r="Q32" s="26">
        <v>-4.9899999999999984</v>
      </c>
      <c r="R32" s="27"/>
      <c r="S32" s="27"/>
      <c r="T32" s="25">
        <f t="shared" si="2"/>
        <v>7.2756249999999998</v>
      </c>
      <c r="U32" s="25">
        <f>SUM(AH32:AM32)</f>
        <v>2.298983502039979E-2</v>
      </c>
      <c r="V32" s="28">
        <f t="shared" si="3"/>
        <v>1.3173421858728228E-3</v>
      </c>
      <c r="W32" s="28">
        <f t="shared" si="4"/>
        <v>1.9144795319691214E-2</v>
      </c>
      <c r="X32" s="28">
        <f t="shared" si="5"/>
        <v>1.6796112869878492E-3</v>
      </c>
      <c r="Y32" s="28">
        <f t="shared" si="6"/>
        <v>3.177221350927479E-3</v>
      </c>
      <c r="Z32" s="28">
        <f t="shared" si="7"/>
        <v>8.5800576579874647E-4</v>
      </c>
      <c r="AA32" s="28">
        <f t="shared" si="8"/>
        <v>9.2907291003662253E-4</v>
      </c>
      <c r="AB32" s="29">
        <f t="shared" si="9"/>
        <v>0.11351537615666114</v>
      </c>
      <c r="AC32" s="29">
        <f t="shared" si="10"/>
        <v>0.84447692155157938</v>
      </c>
      <c r="AD32" s="29">
        <f t="shared" si="11"/>
        <v>9.7652600225473549E-2</v>
      </c>
      <c r="AE32" s="29">
        <f t="shared" si="12"/>
        <v>0.18472364934292362</v>
      </c>
      <c r="AF32" s="29">
        <f t="shared" si="13"/>
        <v>6.1922276117695532E-2</v>
      </c>
      <c r="AG32" s="29">
        <f t="shared" si="14"/>
        <v>6.7051191917343045E-2</v>
      </c>
      <c r="AH32" s="30">
        <f t="shared" si="15"/>
        <v>1.7335090963557127E-3</v>
      </c>
      <c r="AI32" s="30">
        <f t="shared" si="16"/>
        <v>1.4483285395434156E-2</v>
      </c>
      <c r="AJ32" s="30">
        <f t="shared" si="17"/>
        <v>1.6300155273076423E-3</v>
      </c>
      <c r="AK32" s="30">
        <f t="shared" si="18"/>
        <v>3.083403985092784E-3</v>
      </c>
      <c r="AL32" s="30">
        <f t="shared" si="19"/>
        <v>9.8885781088622698E-4</v>
      </c>
      <c r="AM32" s="30">
        <f t="shared" si="20"/>
        <v>1.0707632053232679E-3</v>
      </c>
    </row>
    <row r="33" spans="1:39" x14ac:dyDescent="0.25">
      <c r="A33" s="24">
        <v>23</v>
      </c>
      <c r="B33" s="25">
        <f>[1]CG_Palmillas_Octubre!B33</f>
        <v>8455.2382500000003</v>
      </c>
      <c r="C33" s="25">
        <f>[1]CG_Palmillas_Octubre!C33</f>
        <v>0.62064625000000018</v>
      </c>
      <c r="D33" s="25">
        <f>[1]CG_Palmillas_Octubre!D33</f>
        <v>3.7166666666666674E-2</v>
      </c>
      <c r="E33" s="25">
        <f>[1]CG_Palmillas_Octubre!E33</f>
        <v>0.51370833333333343</v>
      </c>
      <c r="F33" s="25">
        <f>[1]CG_Palmillas_Octubre!F33</f>
        <v>4.791666666666667E-2</v>
      </c>
      <c r="G33" s="25">
        <f>[1]CG_Palmillas_Octubre!G33</f>
        <v>9.2749999999999999E-2</v>
      </c>
      <c r="H33" s="25">
        <f>[1]CG_Palmillas_Octubre!H33</f>
        <v>2.5208333333333346E-2</v>
      </c>
      <c r="I33" s="25">
        <f>[1]CG_Palmillas_Octubre!I33</f>
        <v>2.7500000000000014E-2</v>
      </c>
      <c r="J33" s="25">
        <f>[1]CG_Palmillas_Octubre!J33</f>
        <v>7.0499583333333335</v>
      </c>
      <c r="K33" s="25">
        <f>[1]CG_Palmillas_Octubre!K33</f>
        <v>86.579666666666654</v>
      </c>
      <c r="L33" s="25">
        <f>[1]CG_Palmillas_Octubre!L33</f>
        <v>4.0916666666666678E-2</v>
      </c>
      <c r="M33" s="25">
        <f>[1]CG_Palmillas_Octubre!M33</f>
        <v>5.5847083333333325</v>
      </c>
      <c r="N33" s="25">
        <f t="shared" si="0"/>
        <v>10732.571285234118</v>
      </c>
      <c r="O33" s="25">
        <f t="shared" si="1"/>
        <v>44.935129457018206</v>
      </c>
      <c r="P33" s="26">
        <v>15.607916666666666</v>
      </c>
      <c r="Q33" s="26">
        <v>-4.9899999999999984</v>
      </c>
      <c r="R33" s="27"/>
      <c r="S33" s="27"/>
      <c r="T33" s="25">
        <f t="shared" si="2"/>
        <v>7.0908750000000005</v>
      </c>
      <c r="U33" s="25">
        <f t="shared" si="21"/>
        <v>2.6407646062740493E-2</v>
      </c>
      <c r="V33" s="28">
        <f t="shared" si="3"/>
        <v>1.5461437234191551E-3</v>
      </c>
      <c r="W33" s="28">
        <f t="shared" si="4"/>
        <v>2.1370410275823724E-2</v>
      </c>
      <c r="X33" s="28">
        <f t="shared" si="5"/>
        <v>1.99334672862335E-3</v>
      </c>
      <c r="Y33" s="28">
        <f t="shared" si="6"/>
        <v>3.8584259286222403E-3</v>
      </c>
      <c r="Z33" s="28">
        <f t="shared" si="7"/>
        <v>1.0486737137540237E-3</v>
      </c>
      <c r="AA33" s="28">
        <f t="shared" si="8"/>
        <v>1.1440076877316623E-3</v>
      </c>
      <c r="AB33" s="29">
        <f t="shared" si="9"/>
        <v>0.13323120464702859</v>
      </c>
      <c r="AC33" s="29">
        <f t="shared" si="10"/>
        <v>0.94264879726658446</v>
      </c>
      <c r="AD33" s="29">
        <f t="shared" si="11"/>
        <v>0.11589317880216157</v>
      </c>
      <c r="AE33" s="29">
        <f t="shared" si="12"/>
        <v>0.22432888349009705</v>
      </c>
      <c r="AF33" s="29">
        <f t="shared" si="13"/>
        <v>7.568278192162789E-2</v>
      </c>
      <c r="AG33" s="29">
        <f t="shared" si="14"/>
        <v>8.2563034823594061E-2</v>
      </c>
      <c r="AH33" s="30">
        <f t="shared" si="15"/>
        <v>2.0345922551964417E-3</v>
      </c>
      <c r="AI33" s="30">
        <f t="shared" si="16"/>
        <v>1.616699190948916E-2</v>
      </c>
      <c r="AJ33" s="30">
        <f t="shared" si="17"/>
        <v>1.9344869519130942E-3</v>
      </c>
      <c r="AK33" s="30">
        <f t="shared" si="18"/>
        <v>3.7444938738769975E-3</v>
      </c>
      <c r="AL33" s="30">
        <f t="shared" si="19"/>
        <v>1.2086039910831664E-3</v>
      </c>
      <c r="AM33" s="30">
        <f t="shared" si="20"/>
        <v>1.3184770811816363E-3</v>
      </c>
    </row>
    <row r="34" spans="1:39" x14ac:dyDescent="0.25">
      <c r="A34" s="24">
        <v>24</v>
      </c>
      <c r="B34" s="25">
        <f>[1]CG_Palmillas_Octubre!B34</f>
        <v>8558.5030416666687</v>
      </c>
      <c r="C34" s="25">
        <f>[1]CG_Palmillas_Octubre!C34</f>
        <v>0.60830958333333329</v>
      </c>
      <c r="D34" s="25">
        <f>[1]CG_Palmillas_Octubre!D34</f>
        <v>4.0083333333333353E-2</v>
      </c>
      <c r="E34" s="25">
        <f>[1]CG_Palmillas_Octubre!E34</f>
        <v>0.46500000000000002</v>
      </c>
      <c r="F34" s="25">
        <f>[1]CG_Palmillas_Octubre!F34</f>
        <v>5.0583333333333348E-2</v>
      </c>
      <c r="G34" s="25">
        <f>[1]CG_Palmillas_Octubre!G34</f>
        <v>8.8374999999999995E-2</v>
      </c>
      <c r="H34" s="25">
        <f>[1]CG_Palmillas_Octubre!H34</f>
        <v>2.2541666666666672E-2</v>
      </c>
      <c r="I34" s="25">
        <f>[1]CG_Palmillas_Octubre!I34</f>
        <v>2.2583333333333341E-2</v>
      </c>
      <c r="J34" s="25">
        <f>[1]CG_Palmillas_Octubre!J34</f>
        <v>5.0206666666666671</v>
      </c>
      <c r="K34" s="25">
        <f>[1]CG_Palmillas_Octubre!K34</f>
        <v>89.443624999999997</v>
      </c>
      <c r="L34" s="25">
        <f>[1]CG_Palmillas_Octubre!L34</f>
        <v>0.12762499999999999</v>
      </c>
      <c r="M34" s="25">
        <f>[1]CG_Palmillas_Octubre!M34</f>
        <v>4.719125</v>
      </c>
      <c r="N34" s="25">
        <f t="shared" si="0"/>
        <v>10973.25521616062</v>
      </c>
      <c r="O34" s="25">
        <f t="shared" si="1"/>
        <v>45.942824939021286</v>
      </c>
      <c r="P34" s="26">
        <v>12.502916666666671</v>
      </c>
      <c r="Q34" s="26">
        <v>-4.9899999999999984</v>
      </c>
      <c r="R34" s="27"/>
      <c r="S34" s="27"/>
      <c r="T34" s="25">
        <f t="shared" si="2"/>
        <v>5.1482916666666672</v>
      </c>
      <c r="U34" s="25">
        <f t="shared" si="21"/>
        <v>2.4601855410787639E-2</v>
      </c>
      <c r="V34" s="28">
        <f t="shared" si="3"/>
        <v>1.6674778721179682E-3</v>
      </c>
      <c r="W34" s="28">
        <f t="shared" si="4"/>
        <v>1.9344129992553551E-2</v>
      </c>
      <c r="X34" s="28">
        <f t="shared" si="5"/>
        <v>2.1042808074336933E-3</v>
      </c>
      <c r="Y34" s="28">
        <f t="shared" si="6"/>
        <v>3.6764247055740213E-3</v>
      </c>
      <c r="Z34" s="28">
        <f t="shared" si="7"/>
        <v>9.3773963494368036E-4</v>
      </c>
      <c r="AA34" s="28">
        <f t="shared" si="8"/>
        <v>9.3947297992509203E-4</v>
      </c>
      <c r="AB34" s="29">
        <f t="shared" si="9"/>
        <v>0.14368656824040532</v>
      </c>
      <c r="AC34" s="29">
        <f t="shared" si="10"/>
        <v>0.85326957397153713</v>
      </c>
      <c r="AD34" s="29">
        <f t="shared" si="11"/>
        <v>0.12234288614419493</v>
      </c>
      <c r="AE34" s="29">
        <f t="shared" si="12"/>
        <v>0.21374733238207361</v>
      </c>
      <c r="AF34" s="29">
        <f t="shared" si="13"/>
        <v>6.767666945388541E-2</v>
      </c>
      <c r="AG34" s="29">
        <f t="shared" si="14"/>
        <v>6.7801764961193889E-2</v>
      </c>
      <c r="AH34" s="30">
        <f t="shared" si="15"/>
        <v>2.1942575667028897E-3</v>
      </c>
      <c r="AI34" s="30">
        <f t="shared" si="16"/>
        <v>1.4634084654870547E-2</v>
      </c>
      <c r="AJ34" s="30">
        <f t="shared" si="17"/>
        <v>2.0421453561934753E-3</v>
      </c>
      <c r="AK34" s="30">
        <f t="shared" si="18"/>
        <v>3.5678668043544973E-3</v>
      </c>
      <c r="AL34" s="30">
        <f t="shared" si="19"/>
        <v>1.0807516680594923E-3</v>
      </c>
      <c r="AM34" s="30">
        <f t="shared" si="20"/>
        <v>1.0827493606067372E-3</v>
      </c>
    </row>
    <row r="35" spans="1:39" x14ac:dyDescent="0.25">
      <c r="A35" s="24">
        <v>25</v>
      </c>
      <c r="B35" s="25">
        <f>[1]CG_Palmillas_Octubre!B35</f>
        <v>8569.2749999999996</v>
      </c>
      <c r="C35" s="25">
        <f>[1]CG_Palmillas_Octubre!C35</f>
        <v>0.60638625000000002</v>
      </c>
      <c r="D35" s="25">
        <f>[1]CG_Palmillas_Octubre!D35</f>
        <v>2.675000000000001E-2</v>
      </c>
      <c r="E35" s="25">
        <f>[1]CG_Palmillas_Octubre!E35</f>
        <v>0.3675416666666666</v>
      </c>
      <c r="F35" s="25">
        <f>[1]CG_Palmillas_Octubre!F35</f>
        <v>3.7458333333333357E-2</v>
      </c>
      <c r="G35" s="25">
        <f>[1]CG_Palmillas_Octubre!G35</f>
        <v>6.2208333333333338E-2</v>
      </c>
      <c r="H35" s="25">
        <f>[1]CG_Palmillas_Octubre!H35</f>
        <v>1.5416666666666674E-2</v>
      </c>
      <c r="I35" s="25">
        <f>[1]CG_Palmillas_Octubre!I35</f>
        <v>1.491666666666667E-2</v>
      </c>
      <c r="J35" s="25">
        <f>[1]CG_Palmillas_Octubre!J35</f>
        <v>4.7673750000000004</v>
      </c>
      <c r="K35" s="25">
        <f>[1]CG_Palmillas_Octubre!K35</f>
        <v>89.595541666666676</v>
      </c>
      <c r="L35" s="25">
        <f>[1]CG_Palmillas_Octubre!L35</f>
        <v>0.12616666666666665</v>
      </c>
      <c r="M35" s="25">
        <f>[1]CG_Palmillas_Octubre!M35</f>
        <v>4.9859999999999998</v>
      </c>
      <c r="N35" s="25">
        <f t="shared" si="0"/>
        <v>11004.477016049623</v>
      </c>
      <c r="O35" s="25">
        <f t="shared" si="1"/>
        <v>46.073544370796562</v>
      </c>
      <c r="P35" s="26">
        <v>10.243241998056567</v>
      </c>
      <c r="Q35" s="26">
        <v>-4.9946293830871591</v>
      </c>
      <c r="R35" s="27"/>
      <c r="S35" s="27"/>
      <c r="T35" s="25">
        <f t="shared" si="2"/>
        <v>4.8935416666666667</v>
      </c>
      <c r="U35" s="25">
        <f t="shared" si="21"/>
        <v>1.8509370881914986E-2</v>
      </c>
      <c r="V35" s="28">
        <f t="shared" si="3"/>
        <v>1.112807478066253E-3</v>
      </c>
      <c r="W35" s="28">
        <f t="shared" si="4"/>
        <v>1.5289836081031795E-2</v>
      </c>
      <c r="X35" s="28">
        <f t="shared" si="5"/>
        <v>1.558277138289037E-3</v>
      </c>
      <c r="Y35" s="28">
        <f t="shared" si="6"/>
        <v>2.5878840572475317E-3</v>
      </c>
      <c r="Z35" s="28">
        <f t="shared" si="7"/>
        <v>6.413376431222954E-4</v>
      </c>
      <c r="AA35" s="28">
        <f t="shared" si="8"/>
        <v>6.2053750334535595E-4</v>
      </c>
      <c r="AB35" s="29">
        <f t="shared" si="9"/>
        <v>9.5890620384969025E-2</v>
      </c>
      <c r="AC35" s="29">
        <f t="shared" si="10"/>
        <v>0.67443466953431253</v>
      </c>
      <c r="AD35" s="29">
        <f t="shared" si="11"/>
        <v>9.0598232820124608E-2</v>
      </c>
      <c r="AE35" s="29">
        <f t="shared" si="12"/>
        <v>0.15045957908837149</v>
      </c>
      <c r="AF35" s="29">
        <f t="shared" si="13"/>
        <v>4.6285337704136058E-2</v>
      </c>
      <c r="AG35" s="29">
        <f t="shared" si="14"/>
        <v>4.4784191616434342E-2</v>
      </c>
      <c r="AH35" s="30">
        <f t="shared" si="15"/>
        <v>1.4643589998162732E-3</v>
      </c>
      <c r="AI35" s="30">
        <f t="shared" si="16"/>
        <v>1.1566958847725186E-2</v>
      </c>
      <c r="AJ35" s="30">
        <f t="shared" si="17"/>
        <v>1.512264147625976E-3</v>
      </c>
      <c r="AK35" s="30">
        <f t="shared" si="18"/>
        <v>2.5114687123532608E-3</v>
      </c>
      <c r="AL35" s="30">
        <f t="shared" si="19"/>
        <v>7.3914624248061403E-4</v>
      </c>
      <c r="AM35" s="30">
        <f t="shared" si="20"/>
        <v>7.1517393191367507E-4</v>
      </c>
    </row>
    <row r="36" spans="1:39" x14ac:dyDescent="0.25">
      <c r="A36" s="24">
        <v>26</v>
      </c>
      <c r="B36" s="25">
        <f>[1]CG_Palmillas_Octubre!B36</f>
        <v>8596.8437200000008</v>
      </c>
      <c r="C36" s="25">
        <f>[1]CG_Palmillas_Octubre!C36</f>
        <v>0.60596319999999992</v>
      </c>
      <c r="D36" s="25">
        <f>[1]CG_Palmillas_Octubre!D36</f>
        <v>1.9360000000000009E-2</v>
      </c>
      <c r="E36" s="25">
        <f>[1]CG_Palmillas_Octubre!E36</f>
        <v>0.33207999999999999</v>
      </c>
      <c r="F36" s="25">
        <f>[1]CG_Palmillas_Octubre!F36</f>
        <v>3.0480000000000014E-2</v>
      </c>
      <c r="G36" s="25">
        <f>[1]CG_Palmillas_Octubre!G36</f>
        <v>4.8000000000000008E-2</v>
      </c>
      <c r="H36" s="25">
        <f>[1]CG_Palmillas_Octubre!H36</f>
        <v>1.1680000000000006E-2</v>
      </c>
      <c r="I36" s="25">
        <f>[1]CG_Palmillas_Octubre!I36</f>
        <v>1.1360000000000006E-2</v>
      </c>
      <c r="J36" s="25">
        <f>[1]CG_Palmillas_Octubre!J36</f>
        <v>4.4539600000000004</v>
      </c>
      <c r="K36" s="25">
        <f>[1]CG_Palmillas_Octubre!K36</f>
        <v>89.643719999999988</v>
      </c>
      <c r="L36" s="25">
        <f>[1]CG_Palmillas_Octubre!L36</f>
        <v>0.17807999999999999</v>
      </c>
      <c r="M36" s="25">
        <f>[1]CG_Palmillas_Octubre!M36</f>
        <v>5.2713199999999993</v>
      </c>
      <c r="N36" s="25">
        <f t="shared" si="0"/>
        <v>11043.73321264623</v>
      </c>
      <c r="O36" s="25">
        <f t="shared" si="1"/>
        <v>46.237902214707233</v>
      </c>
      <c r="P36" s="26">
        <v>9.5437499999999993</v>
      </c>
      <c r="Q36" s="26">
        <v>-4.9899999999999984</v>
      </c>
      <c r="R36" s="27"/>
      <c r="S36" s="27"/>
      <c r="T36" s="25">
        <f t="shared" si="2"/>
        <v>4.6320399999999999</v>
      </c>
      <c r="U36" s="25">
        <f t="shared" si="21"/>
        <v>1.5783783052078768E-2</v>
      </c>
      <c r="V36" s="28">
        <f t="shared" si="3"/>
        <v>8.0538141216309009E-4</v>
      </c>
      <c r="W36" s="28">
        <f t="shared" si="4"/>
        <v>1.3814620834252006E-2</v>
      </c>
      <c r="X36" s="28">
        <f t="shared" si="5"/>
        <v>1.2679765208022204E-3</v>
      </c>
      <c r="Y36" s="28">
        <f t="shared" si="6"/>
        <v>1.9968134185861732E-3</v>
      </c>
      <c r="Z36" s="28">
        <f t="shared" si="7"/>
        <v>4.8589126518930233E-4</v>
      </c>
      <c r="AA36" s="28">
        <f t="shared" si="8"/>
        <v>4.7257917573206116E-4</v>
      </c>
      <c r="AB36" s="29">
        <f t="shared" si="9"/>
        <v>6.9399716286093469E-2</v>
      </c>
      <c r="AC36" s="29">
        <f t="shared" si="10"/>
        <v>0.60936292499885591</v>
      </c>
      <c r="AD36" s="29">
        <f t="shared" si="11"/>
        <v>7.3720154919441103E-2</v>
      </c>
      <c r="AE36" s="29">
        <f t="shared" si="12"/>
        <v>0.11609473215660011</v>
      </c>
      <c r="AF36" s="29">
        <f t="shared" si="13"/>
        <v>3.5066772608711952E-2</v>
      </c>
      <c r="AG36" s="29">
        <f t="shared" si="14"/>
        <v>3.4106039112582857E-2</v>
      </c>
      <c r="AH36" s="30">
        <f t="shared" si="15"/>
        <v>1.0598127191193663E-3</v>
      </c>
      <c r="AI36" s="30">
        <f t="shared" si="16"/>
        <v>1.0450939424063249E-2</v>
      </c>
      <c r="AJ36" s="30">
        <f t="shared" si="17"/>
        <v>1.2305355609247542E-3</v>
      </c>
      <c r="AK36" s="30">
        <f t="shared" si="18"/>
        <v>1.9378512770468561E-3</v>
      </c>
      <c r="AL36" s="30">
        <f t="shared" si="19"/>
        <v>5.5999317484369123E-4</v>
      </c>
      <c r="AM36" s="30">
        <f t="shared" si="20"/>
        <v>5.446508960808504E-4</v>
      </c>
    </row>
    <row r="37" spans="1:39" x14ac:dyDescent="0.25">
      <c r="A37" s="24">
        <v>27</v>
      </c>
      <c r="B37" s="25">
        <f>[1]CG_Palmillas_Octubre!B37</f>
        <v>8653.8320833333346</v>
      </c>
      <c r="C37" s="25">
        <f>[1]CG_Palmillas_Octubre!C37</f>
        <v>0.60265833333333341</v>
      </c>
      <c r="D37" s="25">
        <f>[1]CG_Palmillas_Octubre!D37</f>
        <v>1.7916666666666671E-2</v>
      </c>
      <c r="E37" s="25">
        <f>[1]CG_Palmillas_Octubre!E37</f>
        <v>0.30695833333333322</v>
      </c>
      <c r="F37" s="25">
        <f>[1]CG_Palmillas_Octubre!F37</f>
        <v>2.920833333333335E-2</v>
      </c>
      <c r="G37" s="25">
        <f>[1]CG_Palmillas_Octubre!G37</f>
        <v>4.6125000000000006E-2</v>
      </c>
      <c r="H37" s="25">
        <f>[1]CG_Palmillas_Octubre!H37</f>
        <v>1.129166666666667E-2</v>
      </c>
      <c r="I37" s="25">
        <f>[1]CG_Palmillas_Octubre!I37</f>
        <v>1.0833333333333335E-2</v>
      </c>
      <c r="J37" s="25">
        <f>[1]CG_Palmillas_Octubre!J37</f>
        <v>3.6597916666666674</v>
      </c>
      <c r="K37" s="25">
        <f>[1]CG_Palmillas_Octubre!K37</f>
        <v>90.453791666666675</v>
      </c>
      <c r="L37" s="25">
        <f>[1]CG_Palmillas_Octubre!L37</f>
        <v>0.229375</v>
      </c>
      <c r="M37" s="25">
        <f>[1]CG_Palmillas_Octubre!M37</f>
        <v>5.2347083333333337</v>
      </c>
      <c r="N37" s="25">
        <f t="shared" si="0"/>
        <v>11147.381924631789</v>
      </c>
      <c r="O37" s="25">
        <f t="shared" si="1"/>
        <v>46.671858642048377</v>
      </c>
      <c r="P37" s="26">
        <v>9.0657083333333315</v>
      </c>
      <c r="Q37" s="26">
        <v>-4.9946293830871591</v>
      </c>
      <c r="R37" s="27"/>
      <c r="S37" s="27"/>
      <c r="T37" s="25">
        <f t="shared" si="2"/>
        <v>3.8891666666666675</v>
      </c>
      <c r="U37" s="25">
        <f t="shared" si="21"/>
        <v>1.474325755204765E-2</v>
      </c>
      <c r="V37" s="28">
        <f t="shared" si="3"/>
        <v>7.4533834200699186E-4</v>
      </c>
      <c r="W37" s="28">
        <f t="shared" si="4"/>
        <v>1.2769552478059314E-2</v>
      </c>
      <c r="X37" s="28">
        <f t="shared" si="5"/>
        <v>1.2150748319695382E-3</v>
      </c>
      <c r="Y37" s="28">
        <f t="shared" si="6"/>
        <v>1.9188128944226507E-3</v>
      </c>
      <c r="Z37" s="28">
        <f t="shared" si="7"/>
        <v>4.6973648996254602E-4</v>
      </c>
      <c r="AA37" s="28">
        <f t="shared" si="8"/>
        <v>4.506696951670183E-4</v>
      </c>
      <c r="AB37" s="29">
        <f t="shared" si="9"/>
        <v>6.4225804930742494E-2</v>
      </c>
      <c r="AC37" s="29">
        <f t="shared" si="10"/>
        <v>0.56326495980719637</v>
      </c>
      <c r="AD37" s="29">
        <f t="shared" si="11"/>
        <v>7.0644450730708949E-2</v>
      </c>
      <c r="AE37" s="29">
        <f t="shared" si="12"/>
        <v>0.11155978168173292</v>
      </c>
      <c r="AF37" s="29">
        <f t="shared" si="13"/>
        <v>3.3900882480596944E-2</v>
      </c>
      <c r="AG37" s="29">
        <f t="shared" si="14"/>
        <v>3.2524831900203714E-2</v>
      </c>
      <c r="AH37" s="30">
        <f t="shared" si="15"/>
        <v>9.8080119925389019E-4</v>
      </c>
      <c r="AI37" s="30">
        <f t="shared" si="16"/>
        <v>9.6603316892859576E-3</v>
      </c>
      <c r="AJ37" s="30">
        <f t="shared" si="17"/>
        <v>1.1791959593835475E-3</v>
      </c>
      <c r="AK37" s="30">
        <f t="shared" si="18"/>
        <v>1.8621539615372134E-3</v>
      </c>
      <c r="AL37" s="30">
        <f t="shared" si="19"/>
        <v>5.4137468030336861E-4</v>
      </c>
      <c r="AM37" s="30">
        <f t="shared" si="20"/>
        <v>5.1940006228367469E-4</v>
      </c>
    </row>
    <row r="38" spans="1:39" x14ac:dyDescent="0.25">
      <c r="A38" s="24">
        <v>28</v>
      </c>
      <c r="B38" s="25">
        <f>[1]CG_Palmillas_Octubre!B38</f>
        <v>8651.4188333333332</v>
      </c>
      <c r="C38" s="25">
        <f>[1]CG_Palmillas_Octubre!C38</f>
        <v>0.60342416666666676</v>
      </c>
      <c r="D38" s="25">
        <f>[1]CG_Palmillas_Octubre!D38</f>
        <v>2.2666666666666668E-2</v>
      </c>
      <c r="E38" s="25">
        <f>[1]CG_Palmillas_Octubre!E38</f>
        <v>0.36137499999999995</v>
      </c>
      <c r="F38" s="25">
        <f>[1]CG_Palmillas_Octubre!F38</f>
        <v>3.762500000000002E-2</v>
      </c>
      <c r="G38" s="25">
        <f>[1]CG_Palmillas_Octubre!G38</f>
        <v>6.3166666666666677E-2</v>
      </c>
      <c r="H38" s="25">
        <f>[1]CG_Palmillas_Octubre!H38</f>
        <v>1.5583333333333338E-2</v>
      </c>
      <c r="I38" s="25">
        <f>[1]CG_Palmillas_Octubre!I38</f>
        <v>1.5625000000000003E-2</v>
      </c>
      <c r="J38" s="25">
        <f>[1]CG_Palmillas_Octubre!J38</f>
        <v>3.7516666666666665</v>
      </c>
      <c r="K38" s="25">
        <f>[1]CG_Palmillas_Octubre!K38</f>
        <v>90.437291666666667</v>
      </c>
      <c r="L38" s="25">
        <f>[1]CG_Palmillas_Octubre!L38</f>
        <v>0.22695833333333329</v>
      </c>
      <c r="M38" s="25">
        <f>[1]CG_Palmillas_Octubre!M38</f>
        <v>5.0674166666666665</v>
      </c>
      <c r="N38" s="25">
        <f t="shared" si="0"/>
        <v>11137.199211248084</v>
      </c>
      <c r="O38" s="25">
        <f t="shared" si="1"/>
        <v>46.629225657653478</v>
      </c>
      <c r="P38" s="26">
        <v>7.4841666666666669</v>
      </c>
      <c r="Q38" s="26">
        <v>-4.9946293830871591</v>
      </c>
      <c r="R38" s="27"/>
      <c r="S38" s="27"/>
      <c r="T38" s="25">
        <f>+J38+L38</f>
        <v>3.9786249999999996</v>
      </c>
      <c r="U38" s="25">
        <f>SUM(AH38:AM38)</f>
        <v>1.8179137288198796E-2</v>
      </c>
      <c r="V38" s="28">
        <f t="shared" si="3"/>
        <v>9.4293966988791506E-4</v>
      </c>
      <c r="W38" s="28">
        <f t="shared" si="4"/>
        <v>1.5033301023782877E-2</v>
      </c>
      <c r="X38" s="28">
        <f t="shared" si="5"/>
        <v>1.5652105182146832E-3</v>
      </c>
      <c r="Y38" s="28">
        <f t="shared" si="6"/>
        <v>2.6277509918199988E-3</v>
      </c>
      <c r="Z38" s="28">
        <f t="shared" si="7"/>
        <v>6.4827102304794177E-4</v>
      </c>
      <c r="AA38" s="28">
        <f t="shared" si="8"/>
        <v>6.5000436802935334E-4</v>
      </c>
      <c r="AB38" s="29">
        <f t="shared" si="9"/>
        <v>8.1253111354241639E-2</v>
      </c>
      <c r="AC38" s="29">
        <f t="shared" si="10"/>
        <v>0.66311890815906271</v>
      </c>
      <c r="AD38" s="29">
        <f t="shared" si="11"/>
        <v>9.100133952900169E-2</v>
      </c>
      <c r="AE38" s="29">
        <f t="shared" si="12"/>
        <v>0.15277744266441473</v>
      </c>
      <c r="AF38" s="29">
        <f t="shared" si="13"/>
        <v>4.6785719733369958E-2</v>
      </c>
      <c r="AG38" s="29">
        <f t="shared" si="14"/>
        <v>4.691081524067843E-2</v>
      </c>
      <c r="AH38" s="30">
        <f t="shared" si="15"/>
        <v>1.2408275637072468E-3</v>
      </c>
      <c r="AI38" s="30">
        <f t="shared" si="16"/>
        <v>1.1372886757320094E-2</v>
      </c>
      <c r="AJ38" s="30">
        <f t="shared" si="17"/>
        <v>1.5189927978934998E-3</v>
      </c>
      <c r="AK38" s="30">
        <f t="shared" si="18"/>
        <v>2.5501584513915225E-3</v>
      </c>
      <c r="AL38" s="30">
        <f t="shared" si="19"/>
        <v>7.471370126695936E-4</v>
      </c>
      <c r="AM38" s="30">
        <f t="shared" si="20"/>
        <v>7.4913470521683853E-4</v>
      </c>
    </row>
    <row r="39" spans="1:39" x14ac:dyDescent="0.25">
      <c r="A39" s="24">
        <v>29</v>
      </c>
      <c r="B39" s="25">
        <f>[1]CG_Palmillas_Octubre!B39</f>
        <v>8609.6007499999996</v>
      </c>
      <c r="C39" s="25">
        <f>[1]CG_Palmillas_Octubre!C39</f>
        <v>0.60576458333333327</v>
      </c>
      <c r="D39" s="25">
        <f>[1]CG_Palmillas_Octubre!D39</f>
        <v>2.1541666666666671E-2</v>
      </c>
      <c r="E39" s="25">
        <f>[1]CG_Palmillas_Octubre!E39</f>
        <v>0.37545833333333328</v>
      </c>
      <c r="F39" s="25">
        <f>[1]CG_Palmillas_Octubre!F39</f>
        <v>3.4333333333333355E-2</v>
      </c>
      <c r="G39" s="25">
        <f>[1]CG_Palmillas_Octubre!G39</f>
        <v>5.6333333333333346E-2</v>
      </c>
      <c r="H39" s="25">
        <f>[1]CG_Palmillas_Octubre!H39</f>
        <v>1.4125000000000007E-2</v>
      </c>
      <c r="I39" s="25">
        <f>[1]CG_Palmillas_Octubre!I39</f>
        <v>1.3958333333333342E-2</v>
      </c>
      <c r="J39" s="25">
        <f>[1]CG_Palmillas_Octubre!J39</f>
        <v>4.3144583333333317</v>
      </c>
      <c r="K39" s="25">
        <f>[1]CG_Palmillas_Octubre!K39</f>
        <v>89.818791666666684</v>
      </c>
      <c r="L39" s="25">
        <f>[1]CG_Palmillas_Octubre!L39</f>
        <v>0.19745833333333332</v>
      </c>
      <c r="M39" s="25">
        <f>[1]CG_Palmillas_Octubre!M39</f>
        <v>5.1536666666666671</v>
      </c>
      <c r="N39" s="25">
        <f t="shared" si="0"/>
        <v>11061.934266041952</v>
      </c>
      <c r="O39" s="25">
        <f t="shared" si="1"/>
        <v>46.314106385064441</v>
      </c>
      <c r="P39" s="26">
        <v>9.6224999999999987</v>
      </c>
      <c r="Q39" s="26">
        <v>-4.9946293830871591</v>
      </c>
      <c r="R39" s="27"/>
      <c r="S39" s="27"/>
      <c r="T39" s="25">
        <f>+J39+L39</f>
        <v>4.5119166666666652</v>
      </c>
      <c r="U39" s="25">
        <f>SUM(AH39:AM39)</f>
        <v>1.8002178344774467E-2</v>
      </c>
      <c r="V39" s="28">
        <f t="shared" si="3"/>
        <v>8.9613935538980169E-4</v>
      </c>
      <c r="W39" s="28">
        <f t="shared" si="4"/>
        <v>1.5619171627500001E-2</v>
      </c>
      <c r="X39" s="28">
        <f t="shared" si="5"/>
        <v>1.4282762646831663E-3</v>
      </c>
      <c r="Y39" s="28">
        <f t="shared" si="6"/>
        <v>2.3434824148684951E-3</v>
      </c>
      <c r="Z39" s="28">
        <f t="shared" si="7"/>
        <v>5.8760394869853555E-4</v>
      </c>
      <c r="AA39" s="28">
        <f t="shared" si="8"/>
        <v>5.8067056877288917E-4</v>
      </c>
      <c r="AB39" s="29">
        <f t="shared" si="9"/>
        <v>7.7220328253939208E-2</v>
      </c>
      <c r="AC39" s="29">
        <f t="shared" si="10"/>
        <v>0.68896166048902507</v>
      </c>
      <c r="AD39" s="29">
        <f t="shared" si="11"/>
        <v>8.3039982028679293E-2</v>
      </c>
      <c r="AE39" s="29">
        <f t="shared" si="12"/>
        <v>0.1362500676004543</v>
      </c>
      <c r="AF39" s="29">
        <f t="shared" si="13"/>
        <v>4.2407376977573311E-2</v>
      </c>
      <c r="AG39" s="29">
        <f t="shared" si="14"/>
        <v>4.190699494833941E-2</v>
      </c>
      <c r="AH39" s="30">
        <f t="shared" si="15"/>
        <v>1.1792423721261886E-3</v>
      </c>
      <c r="AI39" s="30">
        <f t="shared" si="16"/>
        <v>1.1816105450272264E-2</v>
      </c>
      <c r="AJ39" s="30">
        <f t="shared" si="17"/>
        <v>1.3861019551099048E-3</v>
      </c>
      <c r="AK39" s="30">
        <f t="shared" si="18"/>
        <v>2.2742837904230467E-3</v>
      </c>
      <c r="AL39" s="30">
        <f t="shared" si="19"/>
        <v>6.7721777351602221E-4</v>
      </c>
      <c r="AM39" s="30">
        <f t="shared" si="20"/>
        <v>6.6922700332704252E-4</v>
      </c>
    </row>
    <row r="40" spans="1:39" x14ac:dyDescent="0.25">
      <c r="A40" s="24">
        <v>30</v>
      </c>
      <c r="B40" s="25">
        <f>[1]CG_Palmillas_Octubre!B40</f>
        <v>8567.9728333333314</v>
      </c>
      <c r="C40" s="25">
        <f>[1]CG_Palmillas_Octubre!C40</f>
        <v>0.60685541666666676</v>
      </c>
      <c r="D40" s="25">
        <f>[1]CG_Palmillas_Octubre!D40</f>
        <v>2.4083333333333345E-2</v>
      </c>
      <c r="E40" s="25">
        <f>[1]CG_Palmillas_Octubre!E40</f>
        <v>0.35549999999999998</v>
      </c>
      <c r="F40" s="25">
        <f>[1]CG_Palmillas_Octubre!F40</f>
        <v>3.4208333333333354E-2</v>
      </c>
      <c r="G40" s="25">
        <f>[1]CG_Palmillas_Octubre!G40</f>
        <v>5.7208333333333361E-2</v>
      </c>
      <c r="H40" s="25">
        <f>[1]CG_Palmillas_Octubre!H40</f>
        <v>1.4666666666666675E-2</v>
      </c>
      <c r="I40" s="25">
        <f>[1]CG_Palmillas_Octubre!I40</f>
        <v>1.4875000000000008E-2</v>
      </c>
      <c r="J40" s="25">
        <f>[1]CG_Palmillas_Octubre!J40</f>
        <v>4.7822500000000003</v>
      </c>
      <c r="K40" s="25">
        <f>[1]CG_Palmillas_Octubre!K40</f>
        <v>89.476166666666686</v>
      </c>
      <c r="L40" s="25">
        <f>[1]CG_Palmillas_Octubre!L40</f>
        <v>0.15187500000000001</v>
      </c>
      <c r="M40" s="25">
        <f>[1]CG_Palmillas_Octubre!M40</f>
        <v>5.0889583333333333</v>
      </c>
      <c r="N40" s="25">
        <f t="shared" ref="N40:N41" si="22">B40/SQRT(C40)</f>
        <v>10998.550784171293</v>
      </c>
      <c r="O40" s="25">
        <f t="shared" ref="O40:O41" si="23">N40*0.0041868</f>
        <v>46.048732423168374</v>
      </c>
      <c r="P40" s="26">
        <v>7.2883333333333304</v>
      </c>
      <c r="Q40" s="26">
        <v>-4.9946293830871591</v>
      </c>
      <c r="R40" s="27"/>
      <c r="S40" s="27"/>
      <c r="T40" s="25">
        <f>+J40+L40</f>
        <v>4.9341250000000008</v>
      </c>
      <c r="U40" s="25">
        <f>SUM(AH40:AM40)</f>
        <v>1.7613401726444392E-2</v>
      </c>
      <c r="V40" s="28">
        <f t="shared" si="3"/>
        <v>1.0018733992559101E-3</v>
      </c>
      <c r="W40" s="28">
        <f t="shared" si="4"/>
        <v>1.4788899381403842E-2</v>
      </c>
      <c r="X40" s="28">
        <f t="shared" si="5"/>
        <v>1.4230762297389313E-3</v>
      </c>
      <c r="Y40" s="28">
        <f t="shared" si="6"/>
        <v>2.3798826594781395E-3</v>
      </c>
      <c r="Z40" s="28">
        <f t="shared" si="7"/>
        <v>6.1013743345688656E-4</v>
      </c>
      <c r="AA40" s="28">
        <f t="shared" si="8"/>
        <v>6.188041583639445E-4</v>
      </c>
      <c r="AB40" s="29">
        <f t="shared" si="9"/>
        <v>8.6331430813881782E-2</v>
      </c>
      <c r="AC40" s="29">
        <f t="shared" si="10"/>
        <v>0.65233835171372345</v>
      </c>
      <c r="AD40" s="29">
        <f t="shared" si="11"/>
        <v>8.2737651997021475E-2</v>
      </c>
      <c r="AE40" s="29">
        <f t="shared" si="12"/>
        <v>0.13836637782205902</v>
      </c>
      <c r="AF40" s="29">
        <f t="shared" si="13"/>
        <v>4.4033618572583505E-2</v>
      </c>
      <c r="AG40" s="29">
        <f t="shared" si="14"/>
        <v>4.4659096109125877E-2</v>
      </c>
      <c r="AH40" s="30">
        <f t="shared" si="15"/>
        <v>1.31837928643895E-3</v>
      </c>
      <c r="AI40" s="30">
        <f t="shared" si="16"/>
        <v>1.1187993752271998E-2</v>
      </c>
      <c r="AJ40" s="30">
        <f t="shared" si="17"/>
        <v>1.3810554674092619E-3</v>
      </c>
      <c r="AK40" s="30">
        <f t="shared" si="18"/>
        <v>2.3096092043275469E-3</v>
      </c>
      <c r="AL40" s="30">
        <f t="shared" si="19"/>
        <v>7.0318777663020608E-4</v>
      </c>
      <c r="AM40" s="30">
        <f t="shared" si="20"/>
        <v>7.1317623936643037E-4</v>
      </c>
    </row>
    <row r="41" spans="1:39" x14ac:dyDescent="0.25">
      <c r="A41" s="24">
        <v>31</v>
      </c>
      <c r="B41" s="25">
        <f>[1]CG_Palmillas_Octubre!B41</f>
        <v>8595.6913333333341</v>
      </c>
      <c r="C41" s="25">
        <f>[1]CG_Palmillas_Octubre!C41</f>
        <v>0.60523333333333318</v>
      </c>
      <c r="D41" s="25">
        <f>[1]CG_Palmillas_Octubre!D41</f>
        <v>2.170833333333334E-2</v>
      </c>
      <c r="E41" s="25">
        <f>[1]CG_Palmillas_Octubre!E41</f>
        <v>0.32741666666666663</v>
      </c>
      <c r="F41" s="25">
        <f>[1]CG_Palmillas_Octubre!F41</f>
        <v>3.0833333333333348E-2</v>
      </c>
      <c r="G41" s="25">
        <f>[1]CG_Palmillas_Octubre!G41</f>
        <v>4.9458333333333333E-2</v>
      </c>
      <c r="H41" s="25">
        <f>[1]CG_Palmillas_Octubre!H41</f>
        <v>1.2750000000000004E-2</v>
      </c>
      <c r="I41" s="25">
        <f>[1]CG_Palmillas_Octubre!I41</f>
        <v>1.2500000000000006E-2</v>
      </c>
      <c r="J41" s="25">
        <f>[1]CG_Palmillas_Octubre!J41</f>
        <v>4.417208333333333</v>
      </c>
      <c r="K41" s="25">
        <f>[1]CG_Palmillas_Octubre!K41</f>
        <v>89.798625000000001</v>
      </c>
      <c r="L41" s="25">
        <f>[1]CG_Palmillas_Octubre!L41</f>
        <v>0.16224999999999998</v>
      </c>
      <c r="M41" s="25">
        <f>[1]CG_Palmillas_Octubre!M41</f>
        <v>5.1674999999999995</v>
      </c>
      <c r="N41" s="25">
        <f t="shared" si="22"/>
        <v>11048.908890509261</v>
      </c>
      <c r="O41" s="25">
        <f t="shared" si="23"/>
        <v>46.259571742784175</v>
      </c>
      <c r="P41" s="26">
        <v>6.2208333333333314</v>
      </c>
      <c r="Q41" s="26">
        <v>-4.9946293830871591</v>
      </c>
      <c r="R41" s="27"/>
      <c r="S41" s="27"/>
      <c r="T41" s="25">
        <f>+J41+L41</f>
        <v>4.5794583333333332</v>
      </c>
      <c r="U41" s="25">
        <f>SUM(AH41:AM41)</f>
        <v>1.5944674016406212E-2</v>
      </c>
      <c r="V41" s="28">
        <f t="shared" si="3"/>
        <v>9.0307273531544828E-4</v>
      </c>
      <c r="W41" s="28">
        <f t="shared" si="4"/>
        <v>1.3620624863932418E-2</v>
      </c>
      <c r="X41" s="28">
        <f t="shared" si="5"/>
        <v>1.2826752862445908E-3</v>
      </c>
      <c r="Y41" s="28">
        <f t="shared" si="6"/>
        <v>2.0574804929355791E-3</v>
      </c>
      <c r="Z41" s="28">
        <f t="shared" si="7"/>
        <v>5.3040356431195235E-4</v>
      </c>
      <c r="AA41" s="28">
        <f t="shared" si="8"/>
        <v>5.2000349442348273E-4</v>
      </c>
      <c r="AB41" s="29">
        <f t="shared" si="9"/>
        <v>7.7817777602132182E-2</v>
      </c>
      <c r="AC41" s="29">
        <f t="shared" si="10"/>
        <v>0.60080576274805897</v>
      </c>
      <c r="AD41" s="29">
        <f t="shared" si="11"/>
        <v>7.4574741142260509E-2</v>
      </c>
      <c r="AE41" s="29">
        <f t="shared" si="12"/>
        <v>0.11962191585927456</v>
      </c>
      <c r="AF41" s="29">
        <f t="shared" si="13"/>
        <v>3.8279225236393599E-2</v>
      </c>
      <c r="AG41" s="29">
        <f t="shared" si="14"/>
        <v>3.7528652192542748E-2</v>
      </c>
      <c r="AH41" s="30">
        <f t="shared" si="15"/>
        <v>1.1883661042122716E-3</v>
      </c>
      <c r="AI41" s="30">
        <f t="shared" si="16"/>
        <v>1.0304178962183937E-2</v>
      </c>
      <c r="AJ41" s="30">
        <f t="shared" si="17"/>
        <v>1.2448002994919045E-3</v>
      </c>
      <c r="AK41" s="30">
        <f t="shared" si="18"/>
        <v>1.9967269668876892E-3</v>
      </c>
      <c r="AL41" s="30">
        <f t="shared" si="19"/>
        <v>6.1129391945694022E-4</v>
      </c>
      <c r="AM41" s="30">
        <f t="shared" si="20"/>
        <v>5.9930776417347091E-4</v>
      </c>
    </row>
    <row r="42" spans="1:39" x14ac:dyDescent="0.25">
      <c r="A42" s="32" t="s">
        <v>33</v>
      </c>
      <c r="B42" s="33">
        <f t="shared" ref="B42:Q42" si="24">AVERAGE(B11:B41)</f>
        <v>8624.4240165053779</v>
      </c>
      <c r="C42" s="33">
        <f t="shared" si="24"/>
        <v>0.60897112473118276</v>
      </c>
      <c r="D42" s="33">
        <f t="shared" si="24"/>
        <v>1.8988763440860219E-2</v>
      </c>
      <c r="E42" s="33">
        <f t="shared" si="24"/>
        <v>0.4089084946236558</v>
      </c>
      <c r="F42" s="33">
        <f t="shared" si="24"/>
        <v>3.5089408602150561E-2</v>
      </c>
      <c r="G42" s="33">
        <f t="shared" si="24"/>
        <v>5.0844086021505391E-2</v>
      </c>
      <c r="H42" s="33">
        <f t="shared" si="24"/>
        <v>1.0601236559139787E-2</v>
      </c>
      <c r="I42" s="33">
        <f t="shared" si="24"/>
        <v>9.9793548387096826E-3</v>
      </c>
      <c r="J42" s="33">
        <f t="shared" si="24"/>
        <v>4.5709960215053771</v>
      </c>
      <c r="K42" s="33">
        <f t="shared" si="24"/>
        <v>89.073730215053772</v>
      </c>
      <c r="L42" s="33">
        <f t="shared" si="24"/>
        <v>0.158796935483871</v>
      </c>
      <c r="M42" s="33">
        <f t="shared" si="24"/>
        <v>5.6620613978494623</v>
      </c>
      <c r="N42" s="33">
        <f t="shared" si="24"/>
        <v>11052.320718562471</v>
      </c>
      <c r="O42" s="33">
        <f t="shared" si="24"/>
        <v>46.273856384477348</v>
      </c>
      <c r="P42" s="33">
        <f t="shared" si="24"/>
        <v>12.794279069870051</v>
      </c>
      <c r="Q42" s="33">
        <f t="shared" si="24"/>
        <v>-4.9929868380688074</v>
      </c>
      <c r="R42" s="33"/>
      <c r="S42" s="33"/>
      <c r="T42" s="33">
        <f>AVERAGE(T11:T41)</f>
        <v>4.7297929569892476</v>
      </c>
      <c r="U42" s="34">
        <f>AVERAGE(U11:U41)</f>
        <v>1.8364338075416795E-2</v>
      </c>
      <c r="V42" s="28"/>
      <c r="W42" s="35"/>
      <c r="X42" s="35"/>
      <c r="Y42" s="35"/>
      <c r="Z42" s="35"/>
      <c r="AA42" s="35"/>
      <c r="AB42" s="35"/>
      <c r="AC42" s="35"/>
      <c r="AH42" s="1"/>
      <c r="AI42" s="1"/>
      <c r="AJ42" s="1"/>
      <c r="AK42" s="1"/>
      <c r="AL42" s="1"/>
      <c r="AM42" s="1"/>
    </row>
    <row r="43" spans="1:39" x14ac:dyDescent="0.25">
      <c r="A43" s="36" t="s">
        <v>34</v>
      </c>
      <c r="B43" s="33">
        <f t="shared" ref="B43:Q43" si="25">MAX(B11:B41)</f>
        <v>8799.3469583333335</v>
      </c>
      <c r="C43" s="33">
        <f t="shared" si="25"/>
        <v>0.62064625000000018</v>
      </c>
      <c r="D43" s="33">
        <f t="shared" si="25"/>
        <v>4.0083333333333353E-2</v>
      </c>
      <c r="E43" s="33">
        <f t="shared" si="25"/>
        <v>0.52720833333333317</v>
      </c>
      <c r="F43" s="33">
        <f t="shared" si="25"/>
        <v>5.5291666666666663E-2</v>
      </c>
      <c r="G43" s="33">
        <f t="shared" si="25"/>
        <v>9.2749999999999999E-2</v>
      </c>
      <c r="H43" s="33">
        <f t="shared" si="25"/>
        <v>2.5208333333333346E-2</v>
      </c>
      <c r="I43" s="33">
        <f t="shared" si="25"/>
        <v>2.7500000000000014E-2</v>
      </c>
      <c r="J43" s="33">
        <f t="shared" si="25"/>
        <v>7.2372916666666667</v>
      </c>
      <c r="K43" s="33">
        <f t="shared" si="25"/>
        <v>90.68920833333334</v>
      </c>
      <c r="L43" s="33">
        <f t="shared" si="25"/>
        <v>0.28420833333333334</v>
      </c>
      <c r="M43" s="33">
        <f t="shared" si="25"/>
        <v>7.2127499999999989</v>
      </c>
      <c r="N43" s="33">
        <f t="shared" si="25"/>
        <v>11260.73082017562</v>
      </c>
      <c r="O43" s="33">
        <f t="shared" si="25"/>
        <v>47.146427797911286</v>
      </c>
      <c r="P43" s="33">
        <f t="shared" si="25"/>
        <v>20.105416666666667</v>
      </c>
      <c r="Q43" s="33">
        <f t="shared" si="25"/>
        <v>-4.9899999999999984</v>
      </c>
      <c r="R43" s="33"/>
      <c r="S43" s="33"/>
      <c r="T43" s="33">
        <f>MAX(T11:T41)</f>
        <v>7.2779999999999987</v>
      </c>
      <c r="U43" s="34">
        <f>MAX(U11:U41)</f>
        <v>2.6407646062740493E-2</v>
      </c>
      <c r="V43" s="28"/>
      <c r="W43" s="35"/>
      <c r="X43" s="35"/>
      <c r="Y43" s="35"/>
      <c r="Z43" s="35"/>
      <c r="AA43" s="35"/>
      <c r="AB43" s="35"/>
      <c r="AC43" s="35"/>
      <c r="AH43" s="1"/>
      <c r="AI43" s="1"/>
      <c r="AJ43" s="1"/>
      <c r="AK43" s="1"/>
      <c r="AL43" s="1"/>
      <c r="AM43" s="1"/>
    </row>
    <row r="44" spans="1:39" x14ac:dyDescent="0.25">
      <c r="A44" s="36" t="s">
        <v>35</v>
      </c>
      <c r="B44" s="33">
        <f t="shared" ref="B44:N44" si="26">MIN(B11:B41)</f>
        <v>8382.9538749999974</v>
      </c>
      <c r="C44" s="33">
        <f t="shared" si="26"/>
        <v>0.60253916666666663</v>
      </c>
      <c r="D44" s="33">
        <f t="shared" si="26"/>
        <v>1.0333333333333335E-2</v>
      </c>
      <c r="E44" s="33">
        <f t="shared" si="26"/>
        <v>0.30695833333333322</v>
      </c>
      <c r="F44" s="33">
        <f t="shared" si="26"/>
        <v>2.0375000000000008E-2</v>
      </c>
      <c r="G44" s="33">
        <f t="shared" si="26"/>
        <v>3.1625000000000014E-2</v>
      </c>
      <c r="H44" s="33">
        <f t="shared" si="26"/>
        <v>4.916666666666669E-3</v>
      </c>
      <c r="I44" s="33">
        <f t="shared" si="26"/>
        <v>3.5833333333333346E-3</v>
      </c>
      <c r="J44" s="33">
        <f t="shared" si="26"/>
        <v>3.1226666666666669</v>
      </c>
      <c r="K44" s="33">
        <f t="shared" si="26"/>
        <v>86.403958333333321</v>
      </c>
      <c r="L44" s="33">
        <f t="shared" si="26"/>
        <v>3.8333333333333344E-2</v>
      </c>
      <c r="M44" s="33">
        <f t="shared" si="26"/>
        <v>4.719125</v>
      </c>
      <c r="N44" s="33">
        <f t="shared" si="26"/>
        <v>10686.498440149997</v>
      </c>
      <c r="O44" s="33">
        <f>N44*0.0041868</f>
        <v>44.742231669220011</v>
      </c>
      <c r="P44" s="33">
        <f>MIN(P11:P41)</f>
        <v>6.2208333333333314</v>
      </c>
      <c r="Q44" s="33">
        <f>MIN(Q11:Q41)</f>
        <v>-4.9946299999999999</v>
      </c>
      <c r="R44" s="33"/>
      <c r="S44" s="33"/>
      <c r="T44" s="33">
        <f>MIN(T11:T41)</f>
        <v>3.3660416666666668</v>
      </c>
      <c r="U44" s="34">
        <f>MIN(U11:U41)</f>
        <v>1.4219656113900258E-2</v>
      </c>
      <c r="V44" s="28"/>
      <c r="W44" s="37"/>
      <c r="X44" s="37"/>
      <c r="Y44" s="37"/>
      <c r="Z44" s="37"/>
      <c r="AA44" s="37"/>
      <c r="AB44" s="38"/>
      <c r="AH44" s="1"/>
      <c r="AI44" s="1"/>
      <c r="AJ44" s="1"/>
      <c r="AK44" s="1"/>
      <c r="AL44" s="1"/>
      <c r="AM44" s="1"/>
    </row>
    <row r="45" spans="1:39" x14ac:dyDescent="0.25">
      <c r="A45" s="36" t="s">
        <v>36</v>
      </c>
      <c r="B45" s="33">
        <f t="shared" ref="B45:N45" si="27">STDEV(B11:B41)</f>
        <v>117.01497855239006</v>
      </c>
      <c r="C45" s="33">
        <f t="shared" si="27"/>
        <v>4.8525233976173341E-3</v>
      </c>
      <c r="D45" s="33">
        <f t="shared" si="27"/>
        <v>7.2134751856013013E-3</v>
      </c>
      <c r="E45" s="33">
        <f t="shared" si="27"/>
        <v>5.5471217852736766E-2</v>
      </c>
      <c r="F45" s="33">
        <f t="shared" si="27"/>
        <v>8.6106770881485984E-3</v>
      </c>
      <c r="G45" s="33">
        <f t="shared" si="27"/>
        <v>1.5190228827176459E-2</v>
      </c>
      <c r="H45" s="33">
        <f t="shared" si="27"/>
        <v>5.214252298370632E-3</v>
      </c>
      <c r="I45" s="33">
        <f t="shared" si="27"/>
        <v>6.0690269321552531E-3</v>
      </c>
      <c r="J45" s="33">
        <f t="shared" si="27"/>
        <v>1.2369863472890734</v>
      </c>
      <c r="K45" s="33">
        <f t="shared" si="27"/>
        <v>1.1710037415612773</v>
      </c>
      <c r="L45" s="33">
        <f t="shared" si="27"/>
        <v>7.1091136828534893E-2</v>
      </c>
      <c r="M45" s="33">
        <f t="shared" si="27"/>
        <v>0.67349287247350187</v>
      </c>
      <c r="N45" s="33">
        <f t="shared" si="27"/>
        <v>176.23370227777548</v>
      </c>
      <c r="O45" s="33">
        <f>N45*0.0041868</f>
        <v>0.73785526469659035</v>
      </c>
      <c r="P45" s="33">
        <f>STDEV(P11:P41)</f>
        <v>3.476961031231149</v>
      </c>
      <c r="Q45" s="33">
        <f>STDEV(Q11:Q41)</f>
        <v>2.2517140867350225E-3</v>
      </c>
      <c r="R45" s="33"/>
      <c r="S45" s="33"/>
      <c r="T45" s="33">
        <f>STDEV(T11:T41)</f>
        <v>1.1720779639213192</v>
      </c>
      <c r="U45" s="34">
        <f>STDEV(U11:U41)</f>
        <v>2.836415088097323E-3</v>
      </c>
      <c r="V45" s="28"/>
      <c r="W45" s="37"/>
      <c r="X45" s="37"/>
      <c r="Y45" s="37"/>
      <c r="Z45" s="37"/>
      <c r="AA45" s="37"/>
      <c r="AH45" s="1"/>
      <c r="AI45" s="1"/>
      <c r="AJ45" s="1"/>
      <c r="AK45" s="1"/>
      <c r="AL45" s="1"/>
      <c r="AM45" s="1"/>
    </row>
    <row r="46" spans="1:39" x14ac:dyDescent="0.25">
      <c r="A46" s="36" t="s">
        <v>37</v>
      </c>
      <c r="B46" s="33">
        <f t="shared" ref="B46:N46" si="28">VAR(B11:B41)</f>
        <v>13692.505205616308</v>
      </c>
      <c r="C46" s="33">
        <f t="shared" si="28"/>
        <v>2.3546983324423678E-5</v>
      </c>
      <c r="D46" s="33">
        <f t="shared" si="28"/>
        <v>5.2034224253285724E-5</v>
      </c>
      <c r="E46" s="33">
        <f t="shared" si="28"/>
        <v>3.0770560100657819E-3</v>
      </c>
      <c r="F46" s="33">
        <f t="shared" si="28"/>
        <v>7.414375991636723E-5</v>
      </c>
      <c r="G46" s="33">
        <f t="shared" si="28"/>
        <v>2.3074305182198274E-4</v>
      </c>
      <c r="H46" s="33">
        <f t="shared" si="28"/>
        <v>2.7188427031063415E-5</v>
      </c>
      <c r="I46" s="33">
        <f t="shared" si="28"/>
        <v>3.6833087903225807E-5</v>
      </c>
      <c r="J46" s="33">
        <f t="shared" si="28"/>
        <v>1.5301352233795644</v>
      </c>
      <c r="K46" s="33">
        <f t="shared" si="28"/>
        <v>1.3712497627505107</v>
      </c>
      <c r="L46" s="33">
        <f t="shared" si="28"/>
        <v>5.0539497355734705E-3</v>
      </c>
      <c r="M46" s="33">
        <f t="shared" si="28"/>
        <v>0.45359264927260862</v>
      </c>
      <c r="N46" s="33">
        <f t="shared" si="28"/>
        <v>31058.31781853161</v>
      </c>
      <c r="O46" s="33">
        <f>N46*0.0041868</f>
        <v>130.03496504262816</v>
      </c>
      <c r="P46" s="33">
        <f>VAR(P11:P41)</f>
        <v>12.089258012699975</v>
      </c>
      <c r="Q46" s="33">
        <f>VAR(Q11:Q41)</f>
        <v>5.0702163284009372E-6</v>
      </c>
      <c r="R46" s="33"/>
      <c r="S46" s="33"/>
      <c r="T46" s="33">
        <f>VAR(T11:T41)</f>
        <v>1.3737667535099451</v>
      </c>
      <c r="U46" s="34">
        <f>VAR(U11:U41)</f>
        <v>8.0452505519861443E-6</v>
      </c>
      <c r="V46" s="28"/>
      <c r="W46" s="37"/>
      <c r="X46" s="37"/>
      <c r="Y46" s="37"/>
      <c r="Z46" s="37"/>
      <c r="AA46" s="37"/>
      <c r="AH46" s="1"/>
      <c r="AI46" s="1"/>
      <c r="AJ46" s="1"/>
      <c r="AK46" s="1"/>
      <c r="AL46" s="1"/>
      <c r="AM46" s="1"/>
    </row>
    <row r="47" spans="1:39" x14ac:dyDescent="0.25">
      <c r="A47" s="36" t="s">
        <v>38</v>
      </c>
      <c r="B47" s="33">
        <f t="shared" ref="B47:L47" si="29">+B43-B44</f>
        <v>416.39308333333611</v>
      </c>
      <c r="C47" s="33">
        <f t="shared" si="29"/>
        <v>1.8107083333333551E-2</v>
      </c>
      <c r="D47" s="33">
        <f t="shared" si="29"/>
        <v>2.9750000000000019E-2</v>
      </c>
      <c r="E47" s="33">
        <f t="shared" si="29"/>
        <v>0.22024999999999995</v>
      </c>
      <c r="F47" s="33">
        <f t="shared" si="29"/>
        <v>3.4916666666666651E-2</v>
      </c>
      <c r="G47" s="33">
        <f t="shared" si="29"/>
        <v>6.1124999999999985E-2</v>
      </c>
      <c r="H47" s="33">
        <f t="shared" si="29"/>
        <v>2.0291666666666677E-2</v>
      </c>
      <c r="I47" s="33">
        <f t="shared" si="29"/>
        <v>2.391666666666668E-2</v>
      </c>
      <c r="J47" s="33">
        <f t="shared" si="29"/>
        <v>4.1146250000000002</v>
      </c>
      <c r="K47" s="33">
        <f t="shared" si="29"/>
        <v>4.2852500000000191</v>
      </c>
      <c r="L47" s="33">
        <f t="shared" si="29"/>
        <v>0.24587500000000001</v>
      </c>
      <c r="M47" s="33">
        <f>+M43-M44</f>
        <v>2.4936249999999989</v>
      </c>
      <c r="N47" s="33">
        <f>+N43-N44</f>
        <v>574.23238002562357</v>
      </c>
      <c r="O47" s="33">
        <f>N47*0.0041868</f>
        <v>2.404196128691281</v>
      </c>
      <c r="P47" s="33">
        <f>+P43-P44</f>
        <v>13.884583333333335</v>
      </c>
      <c r="Q47" s="33">
        <f>+Q43-Q44</f>
        <v>4.6300000000014663E-3</v>
      </c>
      <c r="R47" s="33"/>
      <c r="S47" s="33"/>
      <c r="T47" s="33">
        <f>+T43-T44</f>
        <v>3.9119583333333319</v>
      </c>
      <c r="U47" s="34">
        <f>+U43-U44</f>
        <v>1.2187989948840235E-2</v>
      </c>
      <c r="V47" s="28"/>
      <c r="W47" s="37"/>
      <c r="X47" s="37"/>
      <c r="Y47" s="37"/>
      <c r="Z47" s="37"/>
      <c r="AA47" s="37"/>
      <c r="AH47" s="1"/>
      <c r="AI47" s="1"/>
      <c r="AJ47" s="1"/>
      <c r="AK47" s="1"/>
      <c r="AL47" s="1"/>
      <c r="AM47" s="1"/>
    </row>
    <row r="48" spans="1:39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39"/>
      <c r="O48" s="39"/>
      <c r="P48" s="40"/>
      <c r="Q48" s="37"/>
      <c r="R48" s="37"/>
      <c r="S48" s="37"/>
      <c r="T48" s="37"/>
      <c r="U48" s="37"/>
      <c r="V48" s="40"/>
      <c r="W48" s="37"/>
      <c r="X48" s="37"/>
      <c r="Y48" s="37"/>
      <c r="Z48" s="37"/>
      <c r="AA48" s="37"/>
      <c r="AH48" s="1"/>
      <c r="AI48" s="1"/>
      <c r="AJ48" s="1"/>
      <c r="AK48" s="1"/>
      <c r="AL48" s="1"/>
      <c r="AM48" s="1"/>
    </row>
    <row r="49" spans="1:39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39"/>
      <c r="O49" s="39"/>
      <c r="P49" s="40"/>
      <c r="Q49" s="37"/>
      <c r="R49" s="37"/>
      <c r="S49" s="37"/>
      <c r="T49" s="37"/>
      <c r="U49" s="37"/>
      <c r="V49" s="40"/>
      <c r="W49" s="37"/>
      <c r="X49" s="37"/>
      <c r="Y49" s="37"/>
      <c r="Z49" s="37"/>
      <c r="AA49" s="37"/>
      <c r="AH49" s="1"/>
      <c r="AI49" s="1"/>
      <c r="AJ49" s="1"/>
      <c r="AK49" s="1"/>
      <c r="AL49" s="1"/>
      <c r="AM49" s="1"/>
    </row>
    <row r="50" spans="1:39" ht="15.75" thickBot="1" x14ac:dyDescent="0.3">
      <c r="A50" s="41" t="s">
        <v>39</v>
      </c>
      <c r="B50" s="42" t="s">
        <v>40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39"/>
      <c r="O50" s="39"/>
      <c r="P50" s="40"/>
      <c r="Q50" s="37"/>
      <c r="R50" s="40"/>
      <c r="S50" s="37"/>
      <c r="T50" s="37"/>
      <c r="U50" s="37"/>
      <c r="V50" s="40"/>
      <c r="W50" s="37"/>
      <c r="X50" s="37"/>
      <c r="Y50" s="37"/>
      <c r="Z50" s="37"/>
      <c r="AA50" s="37"/>
      <c r="AH50" s="1"/>
      <c r="AI50" s="1"/>
      <c r="AJ50" s="1"/>
      <c r="AK50" s="1"/>
      <c r="AL50" s="1"/>
      <c r="AM50" s="1"/>
    </row>
    <row r="51" spans="1:39" ht="16.5" thickTop="1" thickBot="1" x14ac:dyDescent="0.3">
      <c r="B51" s="5"/>
      <c r="C51" s="5"/>
      <c r="D51" s="5"/>
      <c r="E51" s="43"/>
      <c r="F51" s="43"/>
      <c r="G51" s="43"/>
      <c r="H51" s="43"/>
      <c r="I51" s="5"/>
      <c r="J51" s="43"/>
      <c r="K51" s="43"/>
      <c r="L51" s="44" t="s">
        <v>41</v>
      </c>
      <c r="M51" s="45">
        <v>1</v>
      </c>
      <c r="N51" s="46" t="s">
        <v>42</v>
      </c>
      <c r="O51" s="39"/>
      <c r="P51" s="40"/>
      <c r="Q51" s="37"/>
      <c r="R51" s="37"/>
      <c r="S51" s="37"/>
      <c r="T51" s="37"/>
      <c r="U51" s="37"/>
      <c r="V51" s="40"/>
      <c r="W51" s="37"/>
      <c r="X51" s="37"/>
      <c r="Y51" s="37"/>
      <c r="Z51" s="37"/>
      <c r="AA51" s="37"/>
      <c r="AH51" s="1"/>
      <c r="AI51" s="1"/>
      <c r="AJ51" s="1"/>
      <c r="AK51" s="1"/>
      <c r="AL51" s="1"/>
      <c r="AM51" s="1"/>
    </row>
    <row r="52" spans="1:39" ht="16.5" thickTop="1" thickBot="1" x14ac:dyDescent="0.3">
      <c r="B52" s="5"/>
      <c r="C52" s="5"/>
      <c r="D52" s="5"/>
      <c r="E52" s="47"/>
      <c r="F52" s="47"/>
      <c r="G52" s="184" t="s">
        <v>43</v>
      </c>
      <c r="H52" s="43"/>
      <c r="I52" s="5"/>
      <c r="J52" s="48"/>
      <c r="K52" s="43"/>
      <c r="L52" s="44" t="s">
        <v>44</v>
      </c>
      <c r="M52" s="49">
        <v>8.2000000000000003E-2</v>
      </c>
      <c r="N52" s="50" t="s">
        <v>45</v>
      </c>
      <c r="O52" s="39"/>
      <c r="P52" s="40"/>
      <c r="Q52" s="37"/>
      <c r="R52" s="37"/>
      <c r="S52" s="37"/>
      <c r="T52" s="37"/>
      <c r="U52" s="37"/>
      <c r="V52" s="40"/>
      <c r="W52" s="37"/>
      <c r="X52" s="37"/>
      <c r="Y52" s="37"/>
      <c r="Z52" s="37"/>
      <c r="AA52" s="37"/>
      <c r="AH52" s="1"/>
      <c r="AI52" s="1"/>
      <c r="AJ52" s="1"/>
      <c r="AK52" s="1"/>
      <c r="AL52" s="1"/>
      <c r="AM52" s="1"/>
    </row>
    <row r="53" spans="1:39" ht="16.5" thickTop="1" thickBot="1" x14ac:dyDescent="0.3">
      <c r="B53" s="5"/>
      <c r="C53" s="5"/>
      <c r="E53" s="51" t="s">
        <v>46</v>
      </c>
      <c r="F53" s="51" t="s">
        <v>47</v>
      </c>
      <c r="G53" s="184"/>
      <c r="H53" s="43"/>
      <c r="I53" s="5"/>
      <c r="J53" s="48"/>
      <c r="K53" s="43"/>
      <c r="L53" s="44" t="s">
        <v>48</v>
      </c>
      <c r="M53" s="49">
        <v>293.14999999999998</v>
      </c>
      <c r="N53" s="50" t="s">
        <v>49</v>
      </c>
      <c r="O53" s="39"/>
      <c r="P53" s="40"/>
      <c r="Q53" s="37"/>
      <c r="R53" s="37"/>
      <c r="S53" s="37"/>
      <c r="T53" s="37"/>
      <c r="U53" s="37"/>
      <c r="V53" s="40"/>
      <c r="W53" s="37"/>
      <c r="X53" s="37"/>
      <c r="Y53" s="37"/>
      <c r="Z53" s="37"/>
      <c r="AA53" s="37"/>
      <c r="AH53" s="1"/>
      <c r="AI53" s="1"/>
      <c r="AJ53" s="1"/>
      <c r="AK53" s="1"/>
      <c r="AL53" s="1"/>
      <c r="AM53" s="1"/>
    </row>
    <row r="54" spans="1:39" ht="16.5" thickTop="1" thickBot="1" x14ac:dyDescent="0.3">
      <c r="B54" s="5"/>
      <c r="C54" s="5"/>
      <c r="E54" s="52" t="s">
        <v>50</v>
      </c>
      <c r="F54" s="52">
        <f>12.01+(4*1.01)</f>
        <v>16.05</v>
      </c>
      <c r="G54" s="51">
        <v>464.54</v>
      </c>
      <c r="H54" s="43"/>
      <c r="I54" s="43"/>
      <c r="J54" s="43"/>
      <c r="K54" s="43"/>
      <c r="L54" s="46"/>
      <c r="M54" s="46"/>
      <c r="N54" s="50"/>
      <c r="O54" s="39"/>
      <c r="P54" s="40"/>
      <c r="Q54" s="37"/>
      <c r="R54" s="37"/>
      <c r="S54" s="37"/>
      <c r="T54" s="37"/>
      <c r="U54" s="37"/>
      <c r="V54" s="40"/>
      <c r="W54" s="37"/>
      <c r="X54" s="37"/>
      <c r="Y54" s="37"/>
      <c r="Z54" s="37"/>
      <c r="AA54" s="37"/>
      <c r="AH54" s="1"/>
      <c r="AI54" s="1"/>
      <c r="AJ54" s="1"/>
      <c r="AK54" s="1"/>
      <c r="AL54" s="1"/>
      <c r="AM54" s="1"/>
    </row>
    <row r="55" spans="1:39" ht="17.25" thickTop="1" thickBot="1" x14ac:dyDescent="0.3">
      <c r="B55" s="5"/>
      <c r="C55" s="5"/>
      <c r="E55" s="52" t="s">
        <v>51</v>
      </c>
      <c r="F55" s="52">
        <f>(2*12.01)+(6*1.01)</f>
        <v>30.08</v>
      </c>
      <c r="G55" s="51">
        <v>570.26</v>
      </c>
      <c r="H55" s="43"/>
      <c r="I55" s="43"/>
      <c r="J55" s="43"/>
      <c r="K55" s="43"/>
      <c r="L55" s="46">
        <f>+M52*M53</f>
        <v>24.0383</v>
      </c>
      <c r="M55" s="53">
        <f>1/L55</f>
        <v>4.16002795538786E-2</v>
      </c>
      <c r="N55" s="50"/>
      <c r="O55" s="39"/>
      <c r="P55" s="40"/>
      <c r="Q55" s="37"/>
      <c r="R55" s="37"/>
      <c r="S55" s="37"/>
      <c r="T55" s="37"/>
      <c r="U55" s="37"/>
      <c r="V55" s="40"/>
      <c r="W55" s="37"/>
      <c r="X55" s="37"/>
      <c r="Y55" s="37"/>
      <c r="Z55" s="37"/>
      <c r="AA55" s="37"/>
      <c r="AH55" s="1"/>
      <c r="AI55" s="1"/>
      <c r="AJ55" s="1"/>
      <c r="AK55" s="1"/>
      <c r="AL55" s="1"/>
      <c r="AM55" s="1"/>
    </row>
    <row r="56" spans="1:39" ht="16.5" thickTop="1" thickBot="1" x14ac:dyDescent="0.3">
      <c r="B56" s="5"/>
      <c r="C56" s="5"/>
      <c r="E56" s="52" t="s">
        <v>52</v>
      </c>
      <c r="F56" s="52">
        <f>(3*12.01)+(8*1.01)</f>
        <v>44.11</v>
      </c>
      <c r="G56" s="51">
        <v>583.07000000000005</v>
      </c>
      <c r="H56" s="43"/>
      <c r="I56" s="43"/>
      <c r="J56" s="43"/>
      <c r="K56" s="43"/>
      <c r="L56" s="43"/>
      <c r="M56" s="43"/>
      <c r="N56" s="54"/>
      <c r="O56" s="39"/>
      <c r="P56" s="40"/>
      <c r="Q56" s="37"/>
      <c r="R56" s="37"/>
      <c r="S56" s="37"/>
      <c r="T56" s="37"/>
      <c r="U56" s="37"/>
      <c r="V56" s="40"/>
      <c r="W56" s="37"/>
      <c r="X56" s="37"/>
      <c r="Y56" s="37"/>
      <c r="Z56" s="37"/>
      <c r="AA56" s="37"/>
      <c r="AH56" s="1"/>
      <c r="AI56" s="1"/>
      <c r="AJ56" s="1"/>
      <c r="AK56" s="1"/>
      <c r="AL56" s="1"/>
      <c r="AM56" s="1"/>
    </row>
    <row r="57" spans="1:39" ht="16.5" thickTop="1" thickBot="1" x14ac:dyDescent="0.3">
      <c r="B57" s="5"/>
      <c r="C57" s="5"/>
      <c r="E57" s="52" t="s">
        <v>53</v>
      </c>
      <c r="F57" s="52">
        <f>(4*12.01)+(10*1.01)</f>
        <v>58.14</v>
      </c>
      <c r="G57" s="51">
        <v>599.09</v>
      </c>
      <c r="H57" s="43"/>
      <c r="I57" s="43"/>
      <c r="J57" s="43"/>
      <c r="K57" s="43"/>
      <c r="L57" s="43"/>
      <c r="M57" s="43"/>
      <c r="N57" s="54"/>
      <c r="O57" s="39"/>
      <c r="P57" s="40"/>
      <c r="Q57" s="37"/>
      <c r="R57" s="37"/>
      <c r="S57" s="37"/>
      <c r="T57" s="37"/>
      <c r="U57" s="37"/>
      <c r="V57" s="40"/>
      <c r="W57" s="37"/>
      <c r="X57" s="37"/>
      <c r="Y57" s="37"/>
      <c r="Z57" s="37"/>
      <c r="AA57" s="37"/>
      <c r="AH57" s="1"/>
      <c r="AI57" s="1"/>
      <c r="AJ57" s="1"/>
      <c r="AK57" s="1"/>
      <c r="AL57" s="1"/>
      <c r="AM57" s="1"/>
    </row>
    <row r="58" spans="1:39" ht="16.5" thickTop="1" thickBot="1" x14ac:dyDescent="0.3">
      <c r="B58" s="5"/>
      <c r="C58" s="5"/>
      <c r="E58" s="52" t="s">
        <v>54</v>
      </c>
      <c r="F58" s="52">
        <f>(5*12.01)+(12*1.01)</f>
        <v>72.17</v>
      </c>
      <c r="G58" s="51">
        <v>626.20000000000005</v>
      </c>
      <c r="H58" s="43"/>
      <c r="I58" s="43"/>
      <c r="J58" s="43"/>
      <c r="K58" s="43"/>
      <c r="L58" s="43"/>
      <c r="M58" s="43"/>
      <c r="N58" s="54"/>
      <c r="O58" s="39"/>
      <c r="P58" s="40"/>
      <c r="Q58" s="37"/>
      <c r="R58" s="37"/>
      <c r="S58" s="37"/>
      <c r="T58" s="37"/>
      <c r="U58" s="37"/>
      <c r="V58" s="40"/>
      <c r="W58" s="37"/>
      <c r="X58" s="37"/>
      <c r="Y58" s="37"/>
      <c r="Z58" s="37"/>
      <c r="AA58" s="37"/>
      <c r="AH58" s="1"/>
      <c r="AI58" s="1"/>
      <c r="AJ58" s="1"/>
      <c r="AK58" s="1"/>
      <c r="AL58" s="1"/>
      <c r="AM58" s="1"/>
    </row>
    <row r="59" spans="1:39" ht="16.5" thickTop="1" thickBot="1" x14ac:dyDescent="0.3">
      <c r="B59" s="5"/>
      <c r="C59" s="5"/>
      <c r="E59" s="51" t="s">
        <v>55</v>
      </c>
      <c r="F59" s="52">
        <v>86.17</v>
      </c>
      <c r="G59" s="51">
        <v>654.83000000000004</v>
      </c>
      <c r="H59" s="43"/>
      <c r="I59" s="43"/>
      <c r="J59" s="43"/>
      <c r="K59" s="43"/>
      <c r="L59" s="43"/>
      <c r="M59" s="43"/>
      <c r="N59" s="54"/>
      <c r="O59" s="39"/>
      <c r="P59" s="40"/>
      <c r="Q59" s="37"/>
      <c r="R59" s="37"/>
      <c r="S59" s="37"/>
      <c r="T59" s="37"/>
      <c r="U59" s="37"/>
      <c r="V59" s="40"/>
      <c r="W59" s="37"/>
      <c r="X59" s="37"/>
      <c r="Y59" s="37"/>
      <c r="Z59" s="37"/>
      <c r="AA59" s="37"/>
      <c r="AH59" s="1"/>
      <c r="AI59" s="1"/>
      <c r="AJ59" s="1"/>
      <c r="AK59" s="1"/>
      <c r="AL59" s="1"/>
      <c r="AM59" s="1"/>
    </row>
    <row r="60" spans="1:39" ht="15.75" thickTop="1" x14ac:dyDescent="0.25">
      <c r="P60" s="40"/>
      <c r="Q60" s="37"/>
      <c r="R60" s="37"/>
    </row>
    <row r="61" spans="1:39" x14ac:dyDescent="0.25">
      <c r="P61" s="40"/>
      <c r="Q61" s="37"/>
      <c r="R61" s="37"/>
    </row>
    <row r="62" spans="1:39" x14ac:dyDescent="0.25">
      <c r="P62" s="40"/>
      <c r="Q62" s="37"/>
      <c r="R62" s="37"/>
    </row>
    <row r="63" spans="1:39" x14ac:dyDescent="0.25">
      <c r="P63" s="40"/>
      <c r="Q63" s="37"/>
      <c r="R63" s="37"/>
    </row>
    <row r="64" spans="1:39" x14ac:dyDescent="0.25">
      <c r="P64" s="40"/>
      <c r="Q64" s="37"/>
      <c r="R64" s="37"/>
    </row>
    <row r="65" spans="16:18" x14ac:dyDescent="0.25">
      <c r="P65" s="40"/>
      <c r="Q65" s="37"/>
      <c r="R65" s="37"/>
    </row>
    <row r="66" spans="16:18" x14ac:dyDescent="0.25">
      <c r="P66" s="40"/>
      <c r="Q66" s="37"/>
      <c r="R66" s="37"/>
    </row>
    <row r="67" spans="16:18" x14ac:dyDescent="0.25">
      <c r="P67" s="40"/>
      <c r="Q67" s="37"/>
      <c r="R67" s="37"/>
    </row>
    <row r="68" spans="16:18" x14ac:dyDescent="0.25">
      <c r="P68" s="40"/>
      <c r="Q68" s="37"/>
      <c r="R68" s="37"/>
    </row>
    <row r="69" spans="16:18" x14ac:dyDescent="0.25">
      <c r="P69" s="40"/>
      <c r="Q69" s="37"/>
      <c r="R69" s="37"/>
    </row>
    <row r="70" spans="16:18" x14ac:dyDescent="0.25">
      <c r="P70" s="40"/>
      <c r="Q70" s="37"/>
      <c r="R70" s="37"/>
    </row>
    <row r="71" spans="16:18" x14ac:dyDescent="0.25">
      <c r="P71" s="40"/>
      <c r="Q71" s="37"/>
    </row>
    <row r="72" spans="16:18" x14ac:dyDescent="0.25">
      <c r="P72" s="40"/>
    </row>
    <row r="96" spans="2:13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</sheetData>
  <mergeCells count="15">
    <mergeCell ref="G2:J2"/>
    <mergeCell ref="A4:D4"/>
    <mergeCell ref="J7:K7"/>
    <mergeCell ref="A9:A10"/>
    <mergeCell ref="N9:N10"/>
    <mergeCell ref="AB9:AG9"/>
    <mergeCell ref="AH9:AM9"/>
    <mergeCell ref="G52:G53"/>
    <mergeCell ref="Q9:Q10"/>
    <mergeCell ref="R9:R10"/>
    <mergeCell ref="S9:S10"/>
    <mergeCell ref="T9:T10"/>
    <mergeCell ref="U9:U10"/>
    <mergeCell ref="V9:AA9"/>
    <mergeCell ref="P9:P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TGT</dc:creator>
  <cp:lastModifiedBy>Karel Cruz</cp:lastModifiedBy>
  <dcterms:created xsi:type="dcterms:W3CDTF">2010-06-10T20:43:37Z</dcterms:created>
  <dcterms:modified xsi:type="dcterms:W3CDTF">2013-11-04T20:06:22Z</dcterms:modified>
</cp:coreProperties>
</file>