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763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Comparativo vs. Proveedor" sheetId="3" r:id="rId21"/>
    <sheet name="Balance Volumetrico" sheetId="22" r:id="rId22"/>
    <sheet name="Ajuste de Volumen" sheetId="23" r:id="rId23"/>
    <sheet name="Balance de Energía" sheetId="24" r:id="rId24"/>
    <sheet name="dias trabajados" sheetId="21" r:id="rId25"/>
    <sheet name="TOTAL" sheetId="25" r:id="rId26"/>
    <sheet name="QUINCENA 2" sheetId="26" r:id="rId27"/>
    <sheet name="QUINCENA 1 " sheetId="27" r:id="rId28"/>
    <sheet name="Facturacion Tarifas" sheetId="28" r:id="rId29"/>
    <sheet name="TABLASTARIFAS" sheetId="65" r:id="rId30"/>
    <sheet name="Cliente 20" sheetId="43" r:id="rId31"/>
    <sheet name="Cliente 21" sheetId="42" r:id="rId32"/>
    <sheet name="Cliente 22" sheetId="41" r:id="rId33"/>
    <sheet name="Cliente 23" sheetId="40" r:id="rId34"/>
    <sheet name="Cliente 24" sheetId="39" r:id="rId35"/>
    <sheet name="Cliente 25" sheetId="38" r:id="rId36"/>
    <sheet name="Cliente 26" sheetId="37" r:id="rId37"/>
    <sheet name="Cliente 27" sheetId="36" r:id="rId38"/>
    <sheet name="Cliente 28" sheetId="35" r:id="rId39"/>
    <sheet name="Cliente 29" sheetId="34" r:id="rId40"/>
    <sheet name="Cliente 30" sheetId="33" r:id="rId41"/>
    <sheet name="Cliente 31" sheetId="32" r:id="rId42"/>
    <sheet name="Cliente 32" sheetId="31" r:id="rId43"/>
    <sheet name="Cliente 33" sheetId="30" r:id="rId44"/>
    <sheet name="Cliente 34" sheetId="63" r:id="rId45"/>
    <sheet name="Cliente 35" sheetId="64" r:id="rId46"/>
  </sheets>
  <definedNames>
    <definedName name="Comercializadora">TABLASTARIFAS!$B$73:$D$81</definedName>
    <definedName name="Espumas">TABLASTARIFAS!$B$27:$D$40</definedName>
    <definedName name="FENO">TABLASTARIFAS!$B$84:$D$90</definedName>
    <definedName name="IMPERQUIMIA">TABLASTARIFAS!$B$118:$D$124</definedName>
    <definedName name="MEXCOAT">TABLASTARIFAS!$B$63:$D$65</definedName>
    <definedName name="MOLIENDAS">TABLASTARIFAS!$B$97:$D$102</definedName>
    <definedName name="PREMEX">TABLASTARIFAS!$B$68:$D$70</definedName>
    <definedName name="Print_Area" localSheetId="22">'Ajuste de Volumen'!$A$1:$AO$51</definedName>
    <definedName name="Print_Area" localSheetId="23">'Balance de Energía'!$A$1:$AR$50</definedName>
    <definedName name="Print_Area" localSheetId="21">'Balance Volumetrico'!$A$1:$AQ$53</definedName>
    <definedName name="Print_Area" localSheetId="20">'Comparativo vs. Proveedor'!$A$1:$Q$57</definedName>
    <definedName name="Print_Area" localSheetId="24">'dias trabajados'!$A$1:$AK$45</definedName>
    <definedName name="Print_Area" localSheetId="27">'QUINCENA 1 '!$A$1:$J$104</definedName>
    <definedName name="Print_Area" localSheetId="26">'QUINCENA 2'!$A$1:$J$104</definedName>
    <definedName name="Print_Area" localSheetId="25">TOTAL!$A$1:$M$105</definedName>
    <definedName name="PROESA">TABLASTARIFAS!$B$10:$D$10</definedName>
    <definedName name="PRUP">TABLASTARIFAS!$B$47:$D$60</definedName>
    <definedName name="QUIMICA">TABLASTARIFAS!$B$24:$D$24</definedName>
    <definedName name="TECAMAC">TABLASTARIFAS!$B$105:$D$107</definedName>
    <definedName name="TEJIMAQ">TABLASTARIFAS!$B$93:$D$94</definedName>
    <definedName name="TEXSA">TABLASTARIFAS!$B$16:$D$18</definedName>
    <definedName name="Textiles">TABLASTARIFAS!$B$43:$D$44</definedName>
    <definedName name="TextilesROMATEX">TABLASTARIFAS!$B$7:$D$7</definedName>
    <definedName name="TOTIS">TABLASTARIFAS!$B$13:$D$13</definedName>
    <definedName name="Valchem">TABLASTARIFAS!$B$4:$D$4</definedName>
    <definedName name="VUVA">TABLASTARIFAS!$B$21:$D$21</definedName>
    <definedName name="ZINC">TABLASTARIFAS!$B$110:$D$115</definedName>
  </definedNames>
  <calcPr calcId="145621"/>
</workbook>
</file>

<file path=xl/calcChain.xml><?xml version="1.0" encoding="utf-8"?>
<calcChain xmlns="http://schemas.openxmlformats.org/spreadsheetml/2006/main">
  <c r="AN3" i="28" l="1"/>
  <c r="BB40" i="28" s="1"/>
  <c r="H5" i="65" s="1"/>
  <c r="L5" i="65" s="1"/>
  <c r="J12" i="65"/>
  <c r="J20" i="65"/>
  <c r="I19" i="65"/>
  <c r="I15" i="65"/>
  <c r="J9" i="65"/>
  <c r="J17" i="65"/>
  <c r="I8" i="65"/>
  <c r="I18" i="65"/>
  <c r="I6" i="65"/>
  <c r="I20" i="65"/>
  <c r="I7" i="65"/>
  <c r="J16" i="65"/>
  <c r="I9" i="65"/>
  <c r="J21" i="65"/>
  <c r="I12" i="65"/>
  <c r="J6" i="65"/>
  <c r="J18" i="65"/>
  <c r="I11" i="65"/>
  <c r="J15" i="65"/>
  <c r="I16" i="65"/>
  <c r="J14" i="65"/>
  <c r="J22" i="65"/>
  <c r="I21" i="65"/>
  <c r="J11" i="65"/>
  <c r="J19" i="65"/>
  <c r="I10" i="65"/>
  <c r="J8" i="65"/>
  <c r="I13" i="65"/>
  <c r="I23" i="65"/>
  <c r="J13" i="65"/>
  <c r="I14" i="65"/>
  <c r="J10" i="65"/>
  <c r="I17" i="65"/>
  <c r="I22" i="65"/>
  <c r="J23" i="65"/>
  <c r="J7" i="65"/>
  <c r="M5" i="65" l="1"/>
  <c r="AM3" i="28"/>
  <c r="D4" i="28"/>
  <c r="D5" i="28" s="1"/>
  <c r="D6" i="28" s="1"/>
  <c r="D7" i="28" s="1"/>
  <c r="AX34" i="28" l="1"/>
  <c r="AX35" i="28"/>
  <c r="AX36" i="28"/>
  <c r="AX37" i="28"/>
  <c r="AS42" i="24" l="1"/>
  <c r="B44" i="26"/>
  <c r="B44" i="25" s="1"/>
  <c r="B45" i="26"/>
  <c r="B45" i="25" s="1"/>
  <c r="B46" i="26"/>
  <c r="B46" i="25" s="1"/>
  <c r="B43" i="26"/>
  <c r="B43" i="25" s="1"/>
  <c r="B30" i="26"/>
  <c r="B31" i="26"/>
  <c r="B31" i="25" s="1"/>
  <c r="B32" i="26"/>
  <c r="B32" i="25" s="1"/>
  <c r="B33" i="26"/>
  <c r="B33" i="25" s="1"/>
  <c r="B34" i="26"/>
  <c r="B34" i="25" s="1"/>
  <c r="B35" i="26"/>
  <c r="B35" i="25" s="1"/>
  <c r="B36" i="26"/>
  <c r="B36" i="25" s="1"/>
  <c r="B37" i="26"/>
  <c r="B37" i="25" s="1"/>
  <c r="B38" i="26"/>
  <c r="B38" i="25" s="1"/>
  <c r="B39" i="26"/>
  <c r="B39" i="25" s="1"/>
  <c r="B40" i="26"/>
  <c r="B40" i="25" s="1"/>
  <c r="B41" i="26"/>
  <c r="B41" i="25" s="1"/>
  <c r="B42" i="26"/>
  <c r="B42" i="25" s="1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AJ11" i="21"/>
  <c r="AJ12" i="21"/>
  <c r="AJ13" i="21"/>
  <c r="AJ14" i="21"/>
  <c r="AJ15" i="21"/>
  <c r="AJ16" i="21"/>
  <c r="AJ17" i="21"/>
  <c r="AJ18" i="21"/>
  <c r="AJ19" i="21"/>
  <c r="AJ20" i="21"/>
  <c r="AJ21" i="21"/>
  <c r="AJ22" i="21"/>
  <c r="AJ23" i="21"/>
  <c r="AJ24" i="21"/>
  <c r="AJ25" i="21"/>
  <c r="AJ26" i="21"/>
  <c r="AJ27" i="21"/>
  <c r="AJ28" i="21"/>
  <c r="AJ29" i="21"/>
  <c r="AJ30" i="21"/>
  <c r="AJ31" i="21"/>
  <c r="AJ32" i="21"/>
  <c r="AJ33" i="21"/>
  <c r="AJ34" i="21"/>
  <c r="AJ35" i="21"/>
  <c r="AJ36" i="21"/>
  <c r="AJ37" i="21"/>
  <c r="AJ38" i="21"/>
  <c r="AJ39" i="21"/>
  <c r="AJ40" i="21"/>
  <c r="AJ41" i="21"/>
  <c r="AJ50" i="22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D38" i="23" s="1"/>
  <c r="AD38" i="24" s="1"/>
  <c r="AK39" i="22"/>
  <c r="AK40" i="22"/>
  <c r="AK41" i="22"/>
  <c r="AK11" i="22"/>
  <c r="AJ44" i="22"/>
  <c r="M45" i="64"/>
  <c r="M38" i="64"/>
  <c r="L38" i="64"/>
  <c r="AG37" i="64"/>
  <c r="M37" i="64"/>
  <c r="M44" i="64" s="1"/>
  <c r="L37" i="64"/>
  <c r="AG36" i="64"/>
  <c r="O36" i="64"/>
  <c r="O37" i="64" s="1"/>
  <c r="M36" i="64"/>
  <c r="L36" i="64"/>
  <c r="E36" i="64"/>
  <c r="AE34" i="64"/>
  <c r="AI34" i="64" s="1"/>
  <c r="AJ34" i="64" s="1"/>
  <c r="AL33" i="64"/>
  <c r="AE33" i="64"/>
  <c r="AI33" i="64" s="1"/>
  <c r="V33" i="64"/>
  <c r="W33" i="64" s="1"/>
  <c r="S33" i="64"/>
  <c r="P33" i="64"/>
  <c r="AL32" i="64"/>
  <c r="AE32" i="64"/>
  <c r="AI32" i="64" s="1"/>
  <c r="W32" i="64"/>
  <c r="V32" i="64"/>
  <c r="S32" i="64"/>
  <c r="Z32" i="64" s="1"/>
  <c r="P32" i="64"/>
  <c r="AL31" i="64"/>
  <c r="AE31" i="64"/>
  <c r="AI31" i="64" s="1"/>
  <c r="V31" i="64"/>
  <c r="W31" i="64" s="1"/>
  <c r="S31" i="64"/>
  <c r="P31" i="64"/>
  <c r="AL30" i="64"/>
  <c r="AE30" i="64"/>
  <c r="AI30" i="64" s="1"/>
  <c r="V30" i="64"/>
  <c r="W30" i="64" s="1"/>
  <c r="S30" i="64"/>
  <c r="P30" i="64"/>
  <c r="AL29" i="64"/>
  <c r="AE29" i="64"/>
  <c r="AI29" i="64" s="1"/>
  <c r="V29" i="64"/>
  <c r="W29" i="64" s="1"/>
  <c r="S29" i="64"/>
  <c r="P29" i="64"/>
  <c r="AL28" i="64"/>
  <c r="AE28" i="64"/>
  <c r="AI28" i="64" s="1"/>
  <c r="V28" i="64"/>
  <c r="W28" i="64" s="1"/>
  <c r="S28" i="64"/>
  <c r="Z28" i="64" s="1"/>
  <c r="P28" i="64"/>
  <c r="AL27" i="64"/>
  <c r="AE27" i="64"/>
  <c r="AI27" i="64" s="1"/>
  <c r="W27" i="64"/>
  <c r="V27" i="64"/>
  <c r="S27" i="64"/>
  <c r="P27" i="64"/>
  <c r="AL26" i="64"/>
  <c r="AE26" i="64"/>
  <c r="AI26" i="64" s="1"/>
  <c r="V26" i="64"/>
  <c r="W26" i="64" s="1"/>
  <c r="S26" i="64"/>
  <c r="P26" i="64"/>
  <c r="AL25" i="64"/>
  <c r="AE25" i="64"/>
  <c r="AI25" i="64" s="1"/>
  <c r="V25" i="64"/>
  <c r="W25" i="64" s="1"/>
  <c r="S25" i="64"/>
  <c r="P25" i="64"/>
  <c r="AL24" i="64"/>
  <c r="AE24" i="64"/>
  <c r="AI24" i="64" s="1"/>
  <c r="V24" i="64"/>
  <c r="W24" i="64" s="1"/>
  <c r="S24" i="64"/>
  <c r="P24" i="64"/>
  <c r="AL23" i="64"/>
  <c r="AE23" i="64"/>
  <c r="AI23" i="64" s="1"/>
  <c r="W23" i="64"/>
  <c r="V23" i="64"/>
  <c r="S23" i="64"/>
  <c r="P23" i="64"/>
  <c r="AL22" i="64"/>
  <c r="AE22" i="64"/>
  <c r="AI22" i="64" s="1"/>
  <c r="V22" i="64"/>
  <c r="W22" i="64" s="1"/>
  <c r="S22" i="64"/>
  <c r="P22" i="64"/>
  <c r="AL21" i="64"/>
  <c r="AE21" i="64"/>
  <c r="AI21" i="64" s="1"/>
  <c r="V21" i="64"/>
  <c r="W21" i="64" s="1"/>
  <c r="S21" i="64"/>
  <c r="P21" i="64"/>
  <c r="AL20" i="64"/>
  <c r="AE20" i="64"/>
  <c r="AI20" i="64" s="1"/>
  <c r="V20" i="64"/>
  <c r="W20" i="64" s="1"/>
  <c r="S20" i="64"/>
  <c r="P20" i="64"/>
  <c r="AL19" i="64"/>
  <c r="AE19" i="64"/>
  <c r="AI19" i="64" s="1"/>
  <c r="W19" i="64"/>
  <c r="V19" i="64"/>
  <c r="S19" i="64"/>
  <c r="Z19" i="64" s="1"/>
  <c r="P19" i="64"/>
  <c r="AL18" i="64"/>
  <c r="AE18" i="64"/>
  <c r="AI18" i="64" s="1"/>
  <c r="V18" i="64"/>
  <c r="W18" i="64" s="1"/>
  <c r="S18" i="64"/>
  <c r="P18" i="64"/>
  <c r="AL17" i="64"/>
  <c r="AE17" i="64"/>
  <c r="AI17" i="64" s="1"/>
  <c r="W17" i="64"/>
  <c r="V17" i="64"/>
  <c r="S17" i="64"/>
  <c r="Z17" i="64" s="1"/>
  <c r="P17" i="64"/>
  <c r="AL16" i="64"/>
  <c r="AE16" i="64"/>
  <c r="AI16" i="64" s="1"/>
  <c r="V16" i="64"/>
  <c r="W16" i="64" s="1"/>
  <c r="S16" i="64"/>
  <c r="P16" i="64"/>
  <c r="AL15" i="64"/>
  <c r="AE15" i="64"/>
  <c r="AI15" i="64" s="1"/>
  <c r="W15" i="64"/>
  <c r="V15" i="64"/>
  <c r="S15" i="64"/>
  <c r="Z15" i="64" s="1"/>
  <c r="P15" i="64"/>
  <c r="AL14" i="64"/>
  <c r="AE14" i="64"/>
  <c r="AI14" i="64" s="1"/>
  <c r="V14" i="64"/>
  <c r="W14" i="64" s="1"/>
  <c r="S14" i="64"/>
  <c r="P14" i="64"/>
  <c r="AL13" i="64"/>
  <c r="AE13" i="64"/>
  <c r="AI13" i="64" s="1"/>
  <c r="W13" i="64"/>
  <c r="V13" i="64"/>
  <c r="S13" i="64"/>
  <c r="P13" i="64"/>
  <c r="AL12" i="64"/>
  <c r="AE12" i="64"/>
  <c r="AI12" i="64" s="1"/>
  <c r="V12" i="64"/>
  <c r="W12" i="64" s="1"/>
  <c r="S12" i="64"/>
  <c r="P12" i="64"/>
  <c r="AL11" i="64"/>
  <c r="AE11" i="64"/>
  <c r="AI11" i="64" s="1"/>
  <c r="W11" i="64"/>
  <c r="V11" i="64"/>
  <c r="S11" i="64"/>
  <c r="Z11" i="64" s="1"/>
  <c r="P11" i="64"/>
  <c r="AL10" i="64"/>
  <c r="AE10" i="64"/>
  <c r="AI10" i="64" s="1"/>
  <c r="V10" i="64"/>
  <c r="W10" i="64" s="1"/>
  <c r="S10" i="64"/>
  <c r="P10" i="64"/>
  <c r="AL9" i="64"/>
  <c r="AE9" i="64"/>
  <c r="AI9" i="64" s="1"/>
  <c r="W9" i="64"/>
  <c r="V9" i="64"/>
  <c r="S9" i="64"/>
  <c r="Z9" i="64" s="1"/>
  <c r="P9" i="64"/>
  <c r="AL8" i="64"/>
  <c r="AE8" i="64"/>
  <c r="AI8" i="64" s="1"/>
  <c r="V8" i="64"/>
  <c r="W8" i="64" s="1"/>
  <c r="S8" i="64"/>
  <c r="P8" i="64"/>
  <c r="AL7" i="64"/>
  <c r="AE7" i="64"/>
  <c r="AI7" i="64" s="1"/>
  <c r="W7" i="64"/>
  <c r="V7" i="64"/>
  <c r="S7" i="64"/>
  <c r="Z7" i="64" s="1"/>
  <c r="P7" i="64"/>
  <c r="AL6" i="64"/>
  <c r="AE6" i="64"/>
  <c r="AI6" i="64" s="1"/>
  <c r="V6" i="64"/>
  <c r="W6" i="64" s="1"/>
  <c r="S6" i="64"/>
  <c r="P6" i="64"/>
  <c r="AL5" i="64"/>
  <c r="AE5" i="64"/>
  <c r="AI5" i="64" s="1"/>
  <c r="W5" i="64"/>
  <c r="V5" i="64"/>
  <c r="S5" i="64"/>
  <c r="Z5" i="64" s="1"/>
  <c r="P5" i="64"/>
  <c r="AL4" i="64"/>
  <c r="AE4" i="64"/>
  <c r="AI4" i="64" s="1"/>
  <c r="V4" i="64"/>
  <c r="W4" i="64" s="1"/>
  <c r="S4" i="64"/>
  <c r="P4" i="64"/>
  <c r="AL3" i="64"/>
  <c r="AE3" i="64"/>
  <c r="AI3" i="64" s="1"/>
  <c r="AJ3" i="64" s="1"/>
  <c r="W3" i="64"/>
  <c r="V3" i="64"/>
  <c r="S3" i="64"/>
  <c r="P3" i="64"/>
  <c r="AI11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I24" i="21"/>
  <c r="AI25" i="21"/>
  <c r="AI26" i="21"/>
  <c r="AI27" i="21"/>
  <c r="AI28" i="21"/>
  <c r="AI29" i="21"/>
  <c r="AI30" i="21"/>
  <c r="AI31" i="21"/>
  <c r="AI32" i="21"/>
  <c r="AI33" i="21"/>
  <c r="AI34" i="21"/>
  <c r="AI35" i="21"/>
  <c r="AI36" i="21"/>
  <c r="AI37" i="21"/>
  <c r="AI38" i="21"/>
  <c r="AI39" i="21"/>
  <c r="AI40" i="21"/>
  <c r="AI41" i="21"/>
  <c r="AI50" i="22"/>
  <c r="AI44" i="22"/>
  <c r="M38" i="63"/>
  <c r="L38" i="63"/>
  <c r="AG37" i="63"/>
  <c r="M37" i="63"/>
  <c r="M45" i="63" s="1"/>
  <c r="L37" i="63"/>
  <c r="AG36" i="63"/>
  <c r="O36" i="63"/>
  <c r="O37" i="63" s="1"/>
  <c r="M36" i="63"/>
  <c r="L36" i="63"/>
  <c r="E36" i="63"/>
  <c r="AE34" i="63"/>
  <c r="AI34" i="63" s="1"/>
  <c r="AJ34" i="63" s="1"/>
  <c r="AL33" i="63"/>
  <c r="AE33" i="63"/>
  <c r="AI33" i="63" s="1"/>
  <c r="V33" i="63"/>
  <c r="W33" i="63" s="1"/>
  <c r="S33" i="63"/>
  <c r="Z33" i="63" s="1"/>
  <c r="P33" i="63"/>
  <c r="AL32" i="63"/>
  <c r="AE32" i="63"/>
  <c r="AI32" i="63" s="1"/>
  <c r="W32" i="63"/>
  <c r="V32" i="63"/>
  <c r="S32" i="63"/>
  <c r="P32" i="63"/>
  <c r="AL31" i="63"/>
  <c r="AE31" i="63"/>
  <c r="AI31" i="63" s="1"/>
  <c r="V31" i="63"/>
  <c r="W31" i="63" s="1"/>
  <c r="S31" i="63"/>
  <c r="Z31" i="63" s="1"/>
  <c r="P31" i="63"/>
  <c r="AL30" i="63"/>
  <c r="AE30" i="63"/>
  <c r="AI30" i="63" s="1"/>
  <c r="V30" i="63"/>
  <c r="W30" i="63" s="1"/>
  <c r="S30" i="63"/>
  <c r="P30" i="63"/>
  <c r="AL29" i="63"/>
  <c r="AE29" i="63"/>
  <c r="AI29" i="63" s="1"/>
  <c r="V29" i="63"/>
  <c r="W29" i="63" s="1"/>
  <c r="S29" i="63"/>
  <c r="Z29" i="63" s="1"/>
  <c r="P29" i="63"/>
  <c r="AL28" i="63"/>
  <c r="AE28" i="63"/>
  <c r="AI28" i="63" s="1"/>
  <c r="W28" i="63"/>
  <c r="V28" i="63"/>
  <c r="S28" i="63"/>
  <c r="P28" i="63"/>
  <c r="AL27" i="63"/>
  <c r="AE27" i="63"/>
  <c r="AI27" i="63" s="1"/>
  <c r="V27" i="63"/>
  <c r="W27" i="63" s="1"/>
  <c r="S27" i="63"/>
  <c r="Z27" i="63" s="1"/>
  <c r="P27" i="63"/>
  <c r="AL26" i="63"/>
  <c r="AE26" i="63"/>
  <c r="AI26" i="63" s="1"/>
  <c r="V26" i="63"/>
  <c r="W26" i="63" s="1"/>
  <c r="S26" i="63"/>
  <c r="P26" i="63"/>
  <c r="AL25" i="63"/>
  <c r="AE25" i="63"/>
  <c r="AI25" i="63" s="1"/>
  <c r="V25" i="63"/>
  <c r="W25" i="63" s="1"/>
  <c r="S25" i="63"/>
  <c r="Z25" i="63" s="1"/>
  <c r="P25" i="63"/>
  <c r="AL24" i="63"/>
  <c r="AE24" i="63"/>
  <c r="AI24" i="63" s="1"/>
  <c r="W24" i="63"/>
  <c r="V24" i="63"/>
  <c r="S24" i="63"/>
  <c r="P24" i="63"/>
  <c r="AL23" i="63"/>
  <c r="AE23" i="63"/>
  <c r="AI23" i="63" s="1"/>
  <c r="V23" i="63"/>
  <c r="W23" i="63" s="1"/>
  <c r="S23" i="63"/>
  <c r="Z23" i="63" s="1"/>
  <c r="P23" i="63"/>
  <c r="AL22" i="63"/>
  <c r="AE22" i="63"/>
  <c r="AI22" i="63" s="1"/>
  <c r="V22" i="63"/>
  <c r="W22" i="63" s="1"/>
  <c r="S22" i="63"/>
  <c r="P22" i="63"/>
  <c r="AL21" i="63"/>
  <c r="AE21" i="63"/>
  <c r="AI21" i="63" s="1"/>
  <c r="V21" i="63"/>
  <c r="W21" i="63" s="1"/>
  <c r="S21" i="63"/>
  <c r="Z21" i="63" s="1"/>
  <c r="P21" i="63"/>
  <c r="AL20" i="63"/>
  <c r="AE20" i="63"/>
  <c r="AI20" i="63" s="1"/>
  <c r="W20" i="63"/>
  <c r="V20" i="63"/>
  <c r="S20" i="63"/>
  <c r="P20" i="63"/>
  <c r="AL19" i="63"/>
  <c r="AE19" i="63"/>
  <c r="AI19" i="63" s="1"/>
  <c r="V19" i="63"/>
  <c r="W19" i="63" s="1"/>
  <c r="S19" i="63"/>
  <c r="Z19" i="63" s="1"/>
  <c r="P19" i="63"/>
  <c r="AL18" i="63"/>
  <c r="AE18" i="63"/>
  <c r="AI18" i="63" s="1"/>
  <c r="V18" i="63"/>
  <c r="W18" i="63" s="1"/>
  <c r="S18" i="63"/>
  <c r="P18" i="63"/>
  <c r="AL17" i="63"/>
  <c r="AE17" i="63"/>
  <c r="AI17" i="63" s="1"/>
  <c r="V17" i="63"/>
  <c r="W17" i="63" s="1"/>
  <c r="S17" i="63"/>
  <c r="Z17" i="63" s="1"/>
  <c r="P17" i="63"/>
  <c r="AL16" i="63"/>
  <c r="AE16" i="63"/>
  <c r="AI16" i="63" s="1"/>
  <c r="W16" i="63"/>
  <c r="V16" i="63"/>
  <c r="S16" i="63"/>
  <c r="P16" i="63"/>
  <c r="AL15" i="63"/>
  <c r="AE15" i="63"/>
  <c r="AI15" i="63" s="1"/>
  <c r="V15" i="63"/>
  <c r="W15" i="63" s="1"/>
  <c r="S15" i="63"/>
  <c r="P15" i="63"/>
  <c r="AL14" i="63"/>
  <c r="AE14" i="63"/>
  <c r="AI14" i="63" s="1"/>
  <c r="V14" i="63"/>
  <c r="W14" i="63" s="1"/>
  <c r="S14" i="63"/>
  <c r="P14" i="63"/>
  <c r="AL13" i="63"/>
  <c r="AE13" i="63"/>
  <c r="AI13" i="63" s="1"/>
  <c r="V13" i="63"/>
  <c r="W13" i="63" s="1"/>
  <c r="S13" i="63"/>
  <c r="Z13" i="63" s="1"/>
  <c r="P13" i="63"/>
  <c r="AL12" i="63"/>
  <c r="AE12" i="63"/>
  <c r="AI12" i="63" s="1"/>
  <c r="W12" i="63"/>
  <c r="V12" i="63"/>
  <c r="S12" i="63"/>
  <c r="P12" i="63"/>
  <c r="AL11" i="63"/>
  <c r="AE11" i="63"/>
  <c r="AI11" i="63" s="1"/>
  <c r="V11" i="63"/>
  <c r="W11" i="63" s="1"/>
  <c r="S11" i="63"/>
  <c r="P11" i="63"/>
  <c r="AL10" i="63"/>
  <c r="AE10" i="63"/>
  <c r="AI10" i="63" s="1"/>
  <c r="V10" i="63"/>
  <c r="W10" i="63" s="1"/>
  <c r="S10" i="63"/>
  <c r="P10" i="63"/>
  <c r="AL9" i="63"/>
  <c r="AE9" i="63"/>
  <c r="AI9" i="63" s="1"/>
  <c r="V9" i="63"/>
  <c r="W9" i="63" s="1"/>
  <c r="S9" i="63"/>
  <c r="Z9" i="63" s="1"/>
  <c r="P9" i="63"/>
  <c r="AL8" i="63"/>
  <c r="AE8" i="63"/>
  <c r="AI8" i="63" s="1"/>
  <c r="W8" i="63"/>
  <c r="V8" i="63"/>
  <c r="S8" i="63"/>
  <c r="P8" i="63"/>
  <c r="AL7" i="63"/>
  <c r="AE7" i="63"/>
  <c r="AI7" i="63" s="1"/>
  <c r="V7" i="63"/>
  <c r="W7" i="63" s="1"/>
  <c r="S7" i="63"/>
  <c r="P7" i="63"/>
  <c r="AL6" i="63"/>
  <c r="AE6" i="63"/>
  <c r="AI6" i="63" s="1"/>
  <c r="V6" i="63"/>
  <c r="W6" i="63" s="1"/>
  <c r="S6" i="63"/>
  <c r="P6" i="63"/>
  <c r="AL5" i="63"/>
  <c r="AE5" i="63"/>
  <c r="AI5" i="63" s="1"/>
  <c r="V5" i="63"/>
  <c r="W5" i="63" s="1"/>
  <c r="S5" i="63"/>
  <c r="Z5" i="63" s="1"/>
  <c r="P5" i="63"/>
  <c r="AL4" i="63"/>
  <c r="AE4" i="63"/>
  <c r="AI4" i="63" s="1"/>
  <c r="V4" i="63"/>
  <c r="W4" i="63" s="1"/>
  <c r="S4" i="63"/>
  <c r="Z4" i="63" s="1"/>
  <c r="P4" i="63"/>
  <c r="AL3" i="63"/>
  <c r="AE3" i="63"/>
  <c r="AI3" i="63" s="1"/>
  <c r="AJ3" i="63" s="1"/>
  <c r="V3" i="63"/>
  <c r="S3" i="63"/>
  <c r="P3" i="63"/>
  <c r="AX30" i="28"/>
  <c r="AS30" i="28"/>
  <c r="AR30" i="28"/>
  <c r="AQ30" i="28"/>
  <c r="AK30" i="28"/>
  <c r="AJ30" i="28"/>
  <c r="AI30" i="28"/>
  <c r="AH30" i="28"/>
  <c r="P30" i="28"/>
  <c r="AH41" i="21"/>
  <c r="AG41" i="21"/>
  <c r="AH40" i="21"/>
  <c r="AG40" i="21"/>
  <c r="AH39" i="21"/>
  <c r="AG39" i="21"/>
  <c r="AH38" i="21"/>
  <c r="AG38" i="21"/>
  <c r="AH37" i="21"/>
  <c r="AG37" i="21"/>
  <c r="AH36" i="21"/>
  <c r="AG36" i="21"/>
  <c r="AH35" i="21"/>
  <c r="AG35" i="21"/>
  <c r="AH34" i="21"/>
  <c r="AG34" i="21"/>
  <c r="AH33" i="21"/>
  <c r="AG33" i="21"/>
  <c r="AH32" i="21"/>
  <c r="AG32" i="21"/>
  <c r="AH31" i="21"/>
  <c r="AG31" i="21"/>
  <c r="AH30" i="21"/>
  <c r="AG30" i="21"/>
  <c r="AH29" i="21"/>
  <c r="AG29" i="21"/>
  <c r="AH28" i="21"/>
  <c r="AG28" i="21"/>
  <c r="AH27" i="21"/>
  <c r="AG27" i="21"/>
  <c r="AH26" i="21"/>
  <c r="AG26" i="21"/>
  <c r="AH25" i="21"/>
  <c r="AG25" i="21"/>
  <c r="AH24" i="21"/>
  <c r="AG24" i="21"/>
  <c r="AH23" i="21"/>
  <c r="AG23" i="21"/>
  <c r="AH22" i="21"/>
  <c r="AG22" i="21"/>
  <c r="AH21" i="21"/>
  <c r="AG21" i="21"/>
  <c r="AH20" i="21"/>
  <c r="AG20" i="21"/>
  <c r="AH19" i="21"/>
  <c r="AG19" i="21"/>
  <c r="AH18" i="21"/>
  <c r="AG18" i="21"/>
  <c r="AH17" i="21"/>
  <c r="AG17" i="21"/>
  <c r="AH16" i="21"/>
  <c r="AG16" i="21"/>
  <c r="AH15" i="21"/>
  <c r="AG15" i="21"/>
  <c r="AH14" i="21"/>
  <c r="AG14" i="21"/>
  <c r="AH13" i="21"/>
  <c r="AG13" i="21"/>
  <c r="AH12" i="21"/>
  <c r="AG12" i="21"/>
  <c r="AH11" i="21"/>
  <c r="AG11" i="21"/>
  <c r="AH50" i="22"/>
  <c r="AG50" i="22"/>
  <c r="AH44" i="22"/>
  <c r="AG44" i="22"/>
  <c r="M38" i="62"/>
  <c r="L38" i="62"/>
  <c r="AG37" i="62"/>
  <c r="M37" i="62"/>
  <c r="M45" i="62" s="1"/>
  <c r="L37" i="62"/>
  <c r="L45" i="62"/>
  <c r="AG36" i="62"/>
  <c r="O36" i="62"/>
  <c r="O37" i="62" s="1"/>
  <c r="M36" i="62"/>
  <c r="L36" i="62"/>
  <c r="E36" i="62"/>
  <c r="AE34" i="62"/>
  <c r="AI34" i="62" s="1"/>
  <c r="AJ34" i="62" s="1"/>
  <c r="AL33" i="62"/>
  <c r="AE33" i="62"/>
  <c r="AI33" i="62" s="1"/>
  <c r="V33" i="62"/>
  <c r="W33" i="62" s="1"/>
  <c r="S33" i="62"/>
  <c r="Z33" i="62" s="1"/>
  <c r="P33" i="62"/>
  <c r="AL32" i="62"/>
  <c r="AE32" i="62"/>
  <c r="AI32" i="62" s="1"/>
  <c r="AJ32" i="62" s="1"/>
  <c r="V32" i="62"/>
  <c r="W32" i="62" s="1"/>
  <c r="S32" i="62"/>
  <c r="P32" i="62"/>
  <c r="AL31" i="62"/>
  <c r="AE31" i="62"/>
  <c r="AI31" i="62" s="1"/>
  <c r="AJ31" i="62" s="1"/>
  <c r="V31" i="62"/>
  <c r="W31" i="62"/>
  <c r="S31" i="62"/>
  <c r="P31" i="62"/>
  <c r="AL30" i="62"/>
  <c r="AE30" i="62"/>
  <c r="AI30" i="62" s="1"/>
  <c r="AJ30" i="62" s="1"/>
  <c r="V30" i="62"/>
  <c r="W30" i="62" s="1"/>
  <c r="S30" i="62"/>
  <c r="P30" i="62"/>
  <c r="AL29" i="62"/>
  <c r="AE29" i="62"/>
  <c r="AI29" i="62" s="1"/>
  <c r="AJ29" i="62" s="1"/>
  <c r="V29" i="62"/>
  <c r="W29" i="62"/>
  <c r="S29" i="62"/>
  <c r="Z29" i="62" s="1"/>
  <c r="P29" i="62"/>
  <c r="AL28" i="62"/>
  <c r="AE28" i="62"/>
  <c r="AI28" i="62" s="1"/>
  <c r="AJ28" i="62" s="1"/>
  <c r="V28" i="62"/>
  <c r="W28" i="62" s="1"/>
  <c r="S28" i="62"/>
  <c r="P28" i="62"/>
  <c r="AL27" i="62"/>
  <c r="AE27" i="62"/>
  <c r="AI27" i="62" s="1"/>
  <c r="AJ27" i="62" s="1"/>
  <c r="V27" i="62"/>
  <c r="W27" i="62"/>
  <c r="S27" i="62"/>
  <c r="P27" i="62"/>
  <c r="AL26" i="62"/>
  <c r="AE26" i="62"/>
  <c r="AI26" i="62" s="1"/>
  <c r="AJ26" i="62" s="1"/>
  <c r="V26" i="62"/>
  <c r="W26" i="62" s="1"/>
  <c r="S26" i="62"/>
  <c r="P26" i="62"/>
  <c r="AL25" i="62"/>
  <c r="AE25" i="62"/>
  <c r="AI25" i="62" s="1"/>
  <c r="AJ25" i="62" s="1"/>
  <c r="V25" i="62"/>
  <c r="W25" i="62"/>
  <c r="S25" i="62"/>
  <c r="Z25" i="62" s="1"/>
  <c r="P25" i="62"/>
  <c r="AL24" i="62"/>
  <c r="AE24" i="62"/>
  <c r="AI24" i="62" s="1"/>
  <c r="AJ24" i="62" s="1"/>
  <c r="V24" i="62"/>
  <c r="W24" i="62" s="1"/>
  <c r="S24" i="62"/>
  <c r="P24" i="62"/>
  <c r="AL23" i="62"/>
  <c r="AE23" i="62"/>
  <c r="AI23" i="62" s="1"/>
  <c r="AJ23" i="62" s="1"/>
  <c r="V23" i="62"/>
  <c r="W23" i="62"/>
  <c r="S23" i="62"/>
  <c r="P23" i="62"/>
  <c r="AL22" i="62"/>
  <c r="AE22" i="62"/>
  <c r="AI22" i="62" s="1"/>
  <c r="AJ22" i="62" s="1"/>
  <c r="V22" i="62"/>
  <c r="W22" i="62" s="1"/>
  <c r="S22" i="62"/>
  <c r="P22" i="62"/>
  <c r="AL21" i="62"/>
  <c r="AE21" i="62"/>
  <c r="AI21" i="62" s="1"/>
  <c r="AJ21" i="62" s="1"/>
  <c r="V21" i="62"/>
  <c r="W21" i="62"/>
  <c r="S21" i="62"/>
  <c r="Z21" i="62" s="1"/>
  <c r="P21" i="62"/>
  <c r="AL20" i="62"/>
  <c r="AE20" i="62"/>
  <c r="AI20" i="62" s="1"/>
  <c r="AJ20" i="62" s="1"/>
  <c r="V20" i="62"/>
  <c r="W20" i="62" s="1"/>
  <c r="S20" i="62"/>
  <c r="P20" i="62"/>
  <c r="AL19" i="62"/>
  <c r="AE19" i="62"/>
  <c r="AI19" i="62" s="1"/>
  <c r="AJ19" i="62" s="1"/>
  <c r="V19" i="62"/>
  <c r="W19" i="62"/>
  <c r="S19" i="62"/>
  <c r="P19" i="62"/>
  <c r="AL18" i="62"/>
  <c r="AE18" i="62"/>
  <c r="AI18" i="62" s="1"/>
  <c r="AJ18" i="62" s="1"/>
  <c r="V18" i="62"/>
  <c r="W18" i="62" s="1"/>
  <c r="S18" i="62"/>
  <c r="P18" i="62"/>
  <c r="AL17" i="62"/>
  <c r="AE17" i="62"/>
  <c r="AI17" i="62" s="1"/>
  <c r="AJ17" i="62" s="1"/>
  <c r="V17" i="62"/>
  <c r="W17" i="62"/>
  <c r="S17" i="62"/>
  <c r="Z17" i="62" s="1"/>
  <c r="P17" i="62"/>
  <c r="AL16" i="62"/>
  <c r="AE16" i="62"/>
  <c r="AI16" i="62" s="1"/>
  <c r="AJ16" i="62" s="1"/>
  <c r="V16" i="62"/>
  <c r="W16" i="62" s="1"/>
  <c r="S16" i="62"/>
  <c r="P16" i="62"/>
  <c r="AL15" i="62"/>
  <c r="AE15" i="62"/>
  <c r="AI15" i="62" s="1"/>
  <c r="V15" i="62"/>
  <c r="W15" i="62"/>
  <c r="S15" i="62"/>
  <c r="P15" i="62"/>
  <c r="AL14" i="62"/>
  <c r="AE14" i="62"/>
  <c r="AI14" i="62" s="1"/>
  <c r="AJ14" i="62" s="1"/>
  <c r="V14" i="62"/>
  <c r="W14" i="62" s="1"/>
  <c r="S14" i="62"/>
  <c r="P14" i="62"/>
  <c r="AL13" i="62"/>
  <c r="AE13" i="62"/>
  <c r="AI13" i="62" s="1"/>
  <c r="AJ13" i="62" s="1"/>
  <c r="V13" i="62"/>
  <c r="W13" i="62"/>
  <c r="S13" i="62"/>
  <c r="Z13" i="62" s="1"/>
  <c r="P13" i="62"/>
  <c r="AL12" i="62"/>
  <c r="AE12" i="62"/>
  <c r="AI12" i="62" s="1"/>
  <c r="AJ12" i="62" s="1"/>
  <c r="V12" i="62"/>
  <c r="W12" i="62" s="1"/>
  <c r="S12" i="62"/>
  <c r="P12" i="62"/>
  <c r="AL11" i="62"/>
  <c r="AE11" i="62"/>
  <c r="AI11" i="62" s="1"/>
  <c r="AJ11" i="62" s="1"/>
  <c r="V11" i="62"/>
  <c r="W11" i="62"/>
  <c r="S11" i="62"/>
  <c r="P11" i="62"/>
  <c r="AL10" i="62"/>
  <c r="AE10" i="62"/>
  <c r="AI10" i="62" s="1"/>
  <c r="AJ10" i="62" s="1"/>
  <c r="V10" i="62"/>
  <c r="W10" i="62" s="1"/>
  <c r="S10" i="62"/>
  <c r="P10" i="62"/>
  <c r="AL9" i="62"/>
  <c r="AE9" i="62"/>
  <c r="AI9" i="62" s="1"/>
  <c r="AJ9" i="62" s="1"/>
  <c r="V9" i="62"/>
  <c r="W9" i="62"/>
  <c r="S9" i="62"/>
  <c r="Z9" i="62" s="1"/>
  <c r="P9" i="62"/>
  <c r="AL8" i="62"/>
  <c r="AE8" i="62"/>
  <c r="AI8" i="62" s="1"/>
  <c r="AJ8" i="62" s="1"/>
  <c r="V8" i="62"/>
  <c r="W8" i="62" s="1"/>
  <c r="W36" i="62" s="1"/>
  <c r="S8" i="62"/>
  <c r="P8" i="62"/>
  <c r="AL7" i="62"/>
  <c r="AE7" i="62"/>
  <c r="AI7" i="62" s="1"/>
  <c r="AJ7" i="62" s="1"/>
  <c r="V7" i="62"/>
  <c r="W7" i="62" s="1"/>
  <c r="S7" i="62"/>
  <c r="P7" i="62"/>
  <c r="AL6" i="62"/>
  <c r="AE6" i="62"/>
  <c r="AI6" i="62"/>
  <c r="AJ6" i="62" s="1"/>
  <c r="V6" i="62"/>
  <c r="W6" i="62"/>
  <c r="S6" i="62"/>
  <c r="P6" i="62"/>
  <c r="AL5" i="62"/>
  <c r="AE5" i="62"/>
  <c r="AI5" i="62" s="1"/>
  <c r="AJ5" i="62" s="1"/>
  <c r="V5" i="62"/>
  <c r="W5" i="62" s="1"/>
  <c r="S5" i="62"/>
  <c r="Z5" i="62" s="1"/>
  <c r="P5" i="62"/>
  <c r="AL4" i="62"/>
  <c r="AE4" i="62"/>
  <c r="AI4" i="62"/>
  <c r="AJ4" i="62" s="1"/>
  <c r="V4" i="62"/>
  <c r="W4" i="62"/>
  <c r="S4" i="62"/>
  <c r="Z4" i="62" s="1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/>
  <c r="L37" i="61"/>
  <c r="L44" i="61"/>
  <c r="AG36" i="61"/>
  <c r="O36" i="61"/>
  <c r="O37" i="61" s="1"/>
  <c r="M36" i="61"/>
  <c r="L36" i="61"/>
  <c r="E36" i="61"/>
  <c r="AE34" i="61"/>
  <c r="AI34" i="61"/>
  <c r="AJ34" i="61" s="1"/>
  <c r="AL33" i="61"/>
  <c r="AE33" i="61"/>
  <c r="AI33" i="61" s="1"/>
  <c r="AJ33" i="61" s="1"/>
  <c r="V33" i="61"/>
  <c r="W33" i="61"/>
  <c r="S33" i="61"/>
  <c r="Z33" i="61" s="1"/>
  <c r="P33" i="61"/>
  <c r="AL32" i="61"/>
  <c r="AE32" i="61"/>
  <c r="AI32" i="61"/>
  <c r="V32" i="61"/>
  <c r="W32" i="61" s="1"/>
  <c r="S32" i="61"/>
  <c r="Z32" i="61" s="1"/>
  <c r="P32" i="61"/>
  <c r="AL31" i="61"/>
  <c r="AE31" i="61"/>
  <c r="AI31" i="61"/>
  <c r="V31" i="61"/>
  <c r="W31" i="61"/>
  <c r="S31" i="61"/>
  <c r="P31" i="61"/>
  <c r="AL30" i="61"/>
  <c r="AE30" i="61"/>
  <c r="AI30" i="61" s="1"/>
  <c r="V30" i="61"/>
  <c r="W30" i="61" s="1"/>
  <c r="S30" i="61"/>
  <c r="P30" i="61"/>
  <c r="AL29" i="61"/>
  <c r="AE29" i="61"/>
  <c r="AI29" i="61"/>
  <c r="V29" i="61"/>
  <c r="W29" i="61"/>
  <c r="S29" i="61"/>
  <c r="P29" i="61"/>
  <c r="AL28" i="61"/>
  <c r="AE28" i="61"/>
  <c r="AI28" i="61" s="1"/>
  <c r="V28" i="61"/>
  <c r="W28" i="61" s="1"/>
  <c r="S28" i="61"/>
  <c r="P28" i="61"/>
  <c r="AL27" i="61"/>
  <c r="AE27" i="61"/>
  <c r="AI27" i="61"/>
  <c r="V27" i="61"/>
  <c r="W27" i="61"/>
  <c r="S27" i="61"/>
  <c r="R27" i="61" s="1"/>
  <c r="P27" i="61"/>
  <c r="AL26" i="61"/>
  <c r="AE26" i="61"/>
  <c r="AI26" i="61" s="1"/>
  <c r="V26" i="61"/>
  <c r="W26" i="61" s="1"/>
  <c r="S26" i="61"/>
  <c r="P26" i="61"/>
  <c r="AL25" i="61"/>
  <c r="AE25" i="61"/>
  <c r="AI25" i="61"/>
  <c r="V25" i="61"/>
  <c r="W25" i="61"/>
  <c r="S25" i="61"/>
  <c r="P25" i="61"/>
  <c r="AL24" i="61"/>
  <c r="AE24" i="61"/>
  <c r="AI24" i="61" s="1"/>
  <c r="V24" i="61"/>
  <c r="W24" i="61" s="1"/>
  <c r="S24" i="61"/>
  <c r="P24" i="61"/>
  <c r="AL23" i="61"/>
  <c r="AE23" i="61"/>
  <c r="AI23" i="61"/>
  <c r="V23" i="61"/>
  <c r="W23" i="61"/>
  <c r="S23" i="61"/>
  <c r="R23" i="61" s="1"/>
  <c r="P23" i="61"/>
  <c r="AL22" i="61"/>
  <c r="AE22" i="61"/>
  <c r="AI22" i="61" s="1"/>
  <c r="V22" i="61"/>
  <c r="W22" i="61" s="1"/>
  <c r="S22" i="61"/>
  <c r="P22" i="61"/>
  <c r="AL21" i="61"/>
  <c r="AE21" i="61"/>
  <c r="AI21" i="61"/>
  <c r="V21" i="61"/>
  <c r="W21" i="61"/>
  <c r="S21" i="61"/>
  <c r="P21" i="61"/>
  <c r="AL20" i="61"/>
  <c r="AE20" i="61"/>
  <c r="AI20" i="61" s="1"/>
  <c r="V20" i="61"/>
  <c r="W20" i="61" s="1"/>
  <c r="S20" i="61"/>
  <c r="P20" i="61"/>
  <c r="AL19" i="61"/>
  <c r="AE19" i="61"/>
  <c r="AI19" i="61"/>
  <c r="V19" i="61"/>
  <c r="W19" i="61"/>
  <c r="S19" i="61"/>
  <c r="P19" i="61"/>
  <c r="AL18" i="61"/>
  <c r="AE18" i="61"/>
  <c r="AI18" i="61" s="1"/>
  <c r="V18" i="61"/>
  <c r="W18" i="61" s="1"/>
  <c r="S18" i="61"/>
  <c r="P18" i="61"/>
  <c r="AL17" i="61"/>
  <c r="AE17" i="61"/>
  <c r="AI17" i="6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/>
  <c r="V15" i="61"/>
  <c r="W15" i="61"/>
  <c r="S15" i="61"/>
  <c r="R15" i="61" s="1"/>
  <c r="P15" i="61"/>
  <c r="AL14" i="61"/>
  <c r="AE14" i="61"/>
  <c r="AI14" i="61" s="1"/>
  <c r="V14" i="61"/>
  <c r="W14" i="61" s="1"/>
  <c r="S14" i="61"/>
  <c r="P14" i="61"/>
  <c r="AL13" i="61"/>
  <c r="AE13" i="61"/>
  <c r="AI13" i="61"/>
  <c r="V13" i="61"/>
  <c r="W13" i="61"/>
  <c r="S13" i="61"/>
  <c r="P13" i="61"/>
  <c r="AL12" i="61"/>
  <c r="AE12" i="61"/>
  <c r="AI12" i="61" s="1"/>
  <c r="V12" i="61"/>
  <c r="W12" i="61" s="1"/>
  <c r="S12" i="61"/>
  <c r="P12" i="61"/>
  <c r="AL11" i="61"/>
  <c r="AE11" i="61"/>
  <c r="AI11" i="61"/>
  <c r="V11" i="61"/>
  <c r="W11" i="61"/>
  <c r="S11" i="61"/>
  <c r="R11" i="61"/>
  <c r="P11" i="61"/>
  <c r="AL10" i="61"/>
  <c r="AE10" i="61"/>
  <c r="AI10" i="61"/>
  <c r="V10" i="61"/>
  <c r="W10" i="61"/>
  <c r="S10" i="61"/>
  <c r="P10" i="61"/>
  <c r="AL9" i="61"/>
  <c r="AE9" i="61"/>
  <c r="AI9" i="61" s="1"/>
  <c r="V9" i="61"/>
  <c r="W9" i="61" s="1"/>
  <c r="S9" i="61"/>
  <c r="R9" i="61" s="1"/>
  <c r="P9" i="61"/>
  <c r="AL8" i="61"/>
  <c r="AE8" i="61"/>
  <c r="AI8" i="61"/>
  <c r="V8" i="61"/>
  <c r="W8" i="61"/>
  <c r="S8" i="61"/>
  <c r="P8" i="61"/>
  <c r="AL7" i="61"/>
  <c r="AE7" i="61"/>
  <c r="AI7" i="61" s="1"/>
  <c r="V7" i="61"/>
  <c r="W7" i="61" s="1"/>
  <c r="S7" i="61"/>
  <c r="R7" i="61" s="1"/>
  <c r="T7" i="61" s="1"/>
  <c r="P7" i="61"/>
  <c r="AL6" i="61"/>
  <c r="AE6" i="61"/>
  <c r="AI6" i="61"/>
  <c r="V6" i="61"/>
  <c r="W6" i="61"/>
  <c r="S6" i="61"/>
  <c r="P6" i="61"/>
  <c r="AL5" i="61"/>
  <c r="AE5" i="61"/>
  <c r="AI5" i="61" s="1"/>
  <c r="V5" i="61"/>
  <c r="W5" i="61" s="1"/>
  <c r="S5" i="61"/>
  <c r="R5" i="61" s="1"/>
  <c r="P5" i="61"/>
  <c r="AL4" i="61"/>
  <c r="AE4" i="61"/>
  <c r="AI4" i="61"/>
  <c r="V4" i="61"/>
  <c r="W4" i="61"/>
  <c r="S4" i="61"/>
  <c r="P4" i="61"/>
  <c r="AL3" i="61"/>
  <c r="AE3" i="61"/>
  <c r="AI3" i="61" s="1"/>
  <c r="AJ3" i="61" s="1"/>
  <c r="V3" i="61"/>
  <c r="W3" i="61"/>
  <c r="S3" i="61"/>
  <c r="P3" i="61"/>
  <c r="AG38" i="29"/>
  <c r="AG37" i="29"/>
  <c r="AE35" i="29"/>
  <c r="AI35" i="29" s="1"/>
  <c r="AJ35" i="29" s="1"/>
  <c r="AE34" i="29"/>
  <c r="AI34" i="29"/>
  <c r="AJ34" i="29" s="1"/>
  <c r="AE33" i="29"/>
  <c r="AI33" i="29" s="1"/>
  <c r="AJ33" i="29" s="1"/>
  <c r="AE32" i="29"/>
  <c r="AI32" i="29"/>
  <c r="AJ32" i="29" s="1"/>
  <c r="AE31" i="29"/>
  <c r="AI31" i="29" s="1"/>
  <c r="AJ31" i="29" s="1"/>
  <c r="AE30" i="29"/>
  <c r="AI30" i="29"/>
  <c r="AJ30" i="29" s="1"/>
  <c r="AE29" i="29"/>
  <c r="AI29" i="29" s="1"/>
  <c r="AJ29" i="29" s="1"/>
  <c r="AE28" i="29"/>
  <c r="AI28" i="29"/>
  <c r="AJ28" i="29" s="1"/>
  <c r="AE27" i="29"/>
  <c r="AI27" i="29" s="1"/>
  <c r="AJ27" i="29" s="1"/>
  <c r="AE26" i="29"/>
  <c r="AI26" i="29"/>
  <c r="AJ26" i="29" s="1"/>
  <c r="AE25" i="29"/>
  <c r="AI25" i="29" s="1"/>
  <c r="AJ25" i="29" s="1"/>
  <c r="AE24" i="29"/>
  <c r="AI24" i="29"/>
  <c r="AJ24" i="29"/>
  <c r="AE23" i="29"/>
  <c r="AI23" i="29" s="1"/>
  <c r="AJ23" i="29" s="1"/>
  <c r="AE22" i="29"/>
  <c r="AI22" i="29"/>
  <c r="AJ22" i="29" s="1"/>
  <c r="AE21" i="29"/>
  <c r="AI21" i="29" s="1"/>
  <c r="AJ21" i="29" s="1"/>
  <c r="AE20" i="29"/>
  <c r="AI20" i="29"/>
  <c r="AJ20" i="29" s="1"/>
  <c r="AE19" i="29"/>
  <c r="AI19" i="29" s="1"/>
  <c r="AJ19" i="29"/>
  <c r="AE18" i="29"/>
  <c r="AI18" i="29" s="1"/>
  <c r="AJ18" i="29" s="1"/>
  <c r="AE17" i="29"/>
  <c r="AI17" i="29"/>
  <c r="AJ17" i="29"/>
  <c r="AE16" i="29"/>
  <c r="AI16" i="29"/>
  <c r="AJ16" i="29"/>
  <c r="AE15" i="29"/>
  <c r="AI15" i="29" s="1"/>
  <c r="AJ15" i="29" s="1"/>
  <c r="AE14" i="29"/>
  <c r="AI14" i="29"/>
  <c r="AJ14" i="29" s="1"/>
  <c r="AE13" i="29"/>
  <c r="AI13" i="29" s="1"/>
  <c r="AJ13" i="29" s="1"/>
  <c r="AE12" i="29"/>
  <c r="AI12" i="29" s="1"/>
  <c r="AJ12" i="29" s="1"/>
  <c r="AE11" i="29"/>
  <c r="AI11" i="29" s="1"/>
  <c r="AJ11" i="29"/>
  <c r="AE10" i="29"/>
  <c r="AI10" i="29" s="1"/>
  <c r="AJ10" i="29" s="1"/>
  <c r="AE9" i="29"/>
  <c r="AI9" i="29"/>
  <c r="AJ9" i="29"/>
  <c r="AE8" i="29"/>
  <c r="AI8" i="29" s="1"/>
  <c r="AJ8" i="29" s="1"/>
  <c r="AE7" i="29"/>
  <c r="AI7" i="29" s="1"/>
  <c r="AJ7" i="29" s="1"/>
  <c r="AE6" i="29"/>
  <c r="AI6" i="29" s="1"/>
  <c r="AJ6" i="29" s="1"/>
  <c r="AJ37" i="29" s="1"/>
  <c r="AJ38" i="29" s="1"/>
  <c r="AE5" i="29"/>
  <c r="AI5" i="29" s="1"/>
  <c r="AJ5" i="29" s="1"/>
  <c r="AE4" i="29"/>
  <c r="AI4" i="29"/>
  <c r="AJ4" i="29" s="1"/>
  <c r="AG37" i="30"/>
  <c r="AG36" i="30"/>
  <c r="AE34" i="30"/>
  <c r="AI34" i="30" s="1"/>
  <c r="AJ34" i="30" s="1"/>
  <c r="AL33" i="30"/>
  <c r="AE33" i="30"/>
  <c r="AI33" i="30" s="1"/>
  <c r="AJ33" i="30" s="1"/>
  <c r="AL32" i="30"/>
  <c r="AE32" i="30"/>
  <c r="AI32" i="30" s="1"/>
  <c r="AJ32" i="30" s="1"/>
  <c r="AL31" i="30"/>
  <c r="AE31" i="30"/>
  <c r="AI31" i="30" s="1"/>
  <c r="AL30" i="30"/>
  <c r="AE30" i="30"/>
  <c r="AI30" i="30" s="1"/>
  <c r="AJ30" i="30" s="1"/>
  <c r="AL29" i="30"/>
  <c r="AE29" i="30"/>
  <c r="AI29" i="30" s="1"/>
  <c r="AJ29" i="30" s="1"/>
  <c r="AL28" i="30"/>
  <c r="AE28" i="30"/>
  <c r="AI28" i="30" s="1"/>
  <c r="AJ28" i="30" s="1"/>
  <c r="AL27" i="30"/>
  <c r="AE27" i="30"/>
  <c r="AI27" i="30" s="1"/>
  <c r="AJ27" i="30" s="1"/>
  <c r="AL26" i="30"/>
  <c r="AE26" i="30"/>
  <c r="AI26" i="30" s="1"/>
  <c r="AJ26" i="30" s="1"/>
  <c r="AL25" i="30"/>
  <c r="AE25" i="30"/>
  <c r="AI25" i="30" s="1"/>
  <c r="AJ25" i="30" s="1"/>
  <c r="AL24" i="30"/>
  <c r="AE24" i="30"/>
  <c r="AI24" i="30" s="1"/>
  <c r="AJ24" i="30" s="1"/>
  <c r="AL23" i="30"/>
  <c r="AE23" i="30"/>
  <c r="AI23" i="30" s="1"/>
  <c r="AL22" i="30"/>
  <c r="AE22" i="30"/>
  <c r="AI22" i="30" s="1"/>
  <c r="AJ22" i="30" s="1"/>
  <c r="AL21" i="30"/>
  <c r="AE21" i="30"/>
  <c r="AI21" i="30" s="1"/>
  <c r="AL20" i="30"/>
  <c r="AE20" i="30"/>
  <c r="AI20" i="30" s="1"/>
  <c r="AJ20" i="30" s="1"/>
  <c r="AL19" i="30"/>
  <c r="AE19" i="30"/>
  <c r="AI19" i="30" s="1"/>
  <c r="AJ19" i="30" s="1"/>
  <c r="AL18" i="30"/>
  <c r="AE18" i="30"/>
  <c r="AI18" i="30" s="1"/>
  <c r="AJ18" i="30" s="1"/>
  <c r="AL17" i="30"/>
  <c r="AE17" i="30"/>
  <c r="AI17" i="30" s="1"/>
  <c r="AJ17" i="30" s="1"/>
  <c r="AL16" i="30"/>
  <c r="AE16" i="30"/>
  <c r="AI16" i="30" s="1"/>
  <c r="AJ16" i="30" s="1"/>
  <c r="AL15" i="30"/>
  <c r="AE15" i="30"/>
  <c r="AI15" i="30" s="1"/>
  <c r="AL14" i="30"/>
  <c r="AE14" i="30"/>
  <c r="AI14" i="30" s="1"/>
  <c r="AJ14" i="30" s="1"/>
  <c r="AL13" i="30"/>
  <c r="AE13" i="30"/>
  <c r="AI13" i="30" s="1"/>
  <c r="AL12" i="30"/>
  <c r="AE12" i="30"/>
  <c r="AI12" i="30" s="1"/>
  <c r="AJ12" i="30" s="1"/>
  <c r="AL11" i="30"/>
  <c r="AE11" i="30"/>
  <c r="AI11" i="30" s="1"/>
  <c r="AJ11" i="30" s="1"/>
  <c r="AL10" i="30"/>
  <c r="AE10" i="30"/>
  <c r="AI10" i="30" s="1"/>
  <c r="AJ10" i="30" s="1"/>
  <c r="AL9" i="30"/>
  <c r="AE9" i="30"/>
  <c r="AI9" i="30" s="1"/>
  <c r="AJ9" i="30" s="1"/>
  <c r="AL8" i="30"/>
  <c r="AE8" i="30"/>
  <c r="AI8" i="30" s="1"/>
  <c r="AJ8" i="30" s="1"/>
  <c r="AL7" i="30"/>
  <c r="AE7" i="30"/>
  <c r="AI7" i="30" s="1"/>
  <c r="AL6" i="30"/>
  <c r="AE6" i="30"/>
  <c r="AI6" i="30" s="1"/>
  <c r="AJ6" i="30" s="1"/>
  <c r="AL5" i="30"/>
  <c r="AE5" i="30"/>
  <c r="AI5" i="30" s="1"/>
  <c r="AJ5" i="30" s="1"/>
  <c r="AL4" i="30"/>
  <c r="AE4" i="30"/>
  <c r="AI4" i="30" s="1"/>
  <c r="AJ4" i="30" s="1"/>
  <c r="AL3" i="30"/>
  <c r="AE3" i="30"/>
  <c r="AI3" i="30" s="1"/>
  <c r="AG37" i="31"/>
  <c r="AG36" i="31"/>
  <c r="AE34" i="31"/>
  <c r="AI34" i="31"/>
  <c r="AJ34" i="31" s="1"/>
  <c r="AL33" i="31"/>
  <c r="AE33" i="31"/>
  <c r="AI33" i="31" s="1"/>
  <c r="AJ33" i="31" s="1"/>
  <c r="AL32" i="31"/>
  <c r="AE32" i="31"/>
  <c r="AI32" i="31" s="1"/>
  <c r="AJ32" i="31" s="1"/>
  <c r="AJ36" i="31" s="1"/>
  <c r="AL31" i="31"/>
  <c r="AE31" i="31"/>
  <c r="AI31" i="31"/>
  <c r="AJ31" i="31" s="1"/>
  <c r="AL30" i="31"/>
  <c r="AE30" i="31"/>
  <c r="AI30" i="31"/>
  <c r="AJ30" i="31" s="1"/>
  <c r="AL29" i="31"/>
  <c r="AE29" i="31"/>
  <c r="AI29" i="31" s="1"/>
  <c r="AJ29" i="31" s="1"/>
  <c r="AL28" i="31"/>
  <c r="AE28" i="31"/>
  <c r="AI28" i="31"/>
  <c r="AJ28" i="31" s="1"/>
  <c r="AL27" i="31"/>
  <c r="AE27" i="31"/>
  <c r="AI27" i="31"/>
  <c r="AJ27" i="31" s="1"/>
  <c r="AL26" i="31"/>
  <c r="AE26" i="31"/>
  <c r="AI26" i="31"/>
  <c r="AJ26" i="31" s="1"/>
  <c r="AL25" i="31"/>
  <c r="AE25" i="31"/>
  <c r="AI25" i="31" s="1"/>
  <c r="AJ25" i="31" s="1"/>
  <c r="AL24" i="31"/>
  <c r="AE24" i="31"/>
  <c r="AI24" i="31"/>
  <c r="AJ24" i="31" s="1"/>
  <c r="AL23" i="31"/>
  <c r="AE23" i="31"/>
  <c r="AI23" i="31"/>
  <c r="AJ23" i="31" s="1"/>
  <c r="AL22" i="31"/>
  <c r="AE22" i="31"/>
  <c r="AI22" i="31"/>
  <c r="AJ22" i="31" s="1"/>
  <c r="AL21" i="31"/>
  <c r="AE21" i="31"/>
  <c r="AI21" i="31" s="1"/>
  <c r="AJ21" i="31" s="1"/>
  <c r="AL20" i="31"/>
  <c r="AE20" i="31"/>
  <c r="AI20" i="31"/>
  <c r="AJ20" i="31" s="1"/>
  <c r="AL19" i="31"/>
  <c r="AE19" i="31"/>
  <c r="AI19" i="31"/>
  <c r="AJ19" i="31" s="1"/>
  <c r="AL18" i="31"/>
  <c r="AE18" i="31"/>
  <c r="AI18" i="31"/>
  <c r="AJ18" i="31"/>
  <c r="AL17" i="31"/>
  <c r="AE17" i="31"/>
  <c r="AI17" i="31"/>
  <c r="AJ17" i="31"/>
  <c r="AL16" i="31"/>
  <c r="AE16" i="31"/>
  <c r="AI16" i="31"/>
  <c r="AJ16" i="31"/>
  <c r="AL15" i="31"/>
  <c r="AE15" i="31"/>
  <c r="AI15" i="31"/>
  <c r="AJ15" i="31"/>
  <c r="AL14" i="31"/>
  <c r="AE14" i="31"/>
  <c r="AI14" i="31"/>
  <c r="AJ14" i="31"/>
  <c r="AL13" i="31"/>
  <c r="AE13" i="31"/>
  <c r="AI13" i="31"/>
  <c r="AJ13" i="31"/>
  <c r="AL12" i="31"/>
  <c r="AE12" i="31"/>
  <c r="AI12" i="31"/>
  <c r="AJ12" i="31"/>
  <c r="AL11" i="31"/>
  <c r="AE11" i="31"/>
  <c r="AI11" i="31"/>
  <c r="AJ11" i="31"/>
  <c r="AL10" i="31"/>
  <c r="AE10" i="31"/>
  <c r="AI10" i="31"/>
  <c r="AJ10" i="31"/>
  <c r="AL9" i="31"/>
  <c r="AE9" i="31"/>
  <c r="AI9" i="31"/>
  <c r="AJ9" i="31"/>
  <c r="AL8" i="31"/>
  <c r="AE8" i="31"/>
  <c r="AI8" i="31"/>
  <c r="AJ8" i="31"/>
  <c r="AL7" i="31"/>
  <c r="AE7" i="31"/>
  <c r="AI7" i="31"/>
  <c r="AJ7" i="31"/>
  <c r="AL6" i="31"/>
  <c r="AE6" i="31"/>
  <c r="AI6" i="31"/>
  <c r="AJ6" i="31"/>
  <c r="AL5" i="31"/>
  <c r="AE5" i="31"/>
  <c r="AI5" i="31"/>
  <c r="AJ5" i="31"/>
  <c r="AL4" i="31"/>
  <c r="AE4" i="31"/>
  <c r="AI4" i="31"/>
  <c r="AJ4" i="31"/>
  <c r="AL3" i="31"/>
  <c r="AE3" i="31"/>
  <c r="AI3" i="31"/>
  <c r="AJ3" i="31"/>
  <c r="AG37" i="32"/>
  <c r="AG36" i="32"/>
  <c r="AE34" i="32"/>
  <c r="AI34" i="32"/>
  <c r="AJ34" i="32"/>
  <c r="AL33" i="32"/>
  <c r="AE33" i="32"/>
  <c r="AI33" i="32"/>
  <c r="AJ33" i="32"/>
  <c r="AL32" i="32"/>
  <c r="AE32" i="32"/>
  <c r="AI32" i="32"/>
  <c r="AJ32" i="32"/>
  <c r="AL31" i="32"/>
  <c r="AE31" i="32"/>
  <c r="AI31" i="32"/>
  <c r="AJ31" i="32"/>
  <c r="AL30" i="32"/>
  <c r="AE30" i="32"/>
  <c r="AI30" i="32"/>
  <c r="AJ30" i="32"/>
  <c r="AL29" i="32"/>
  <c r="AE29" i="32"/>
  <c r="AI29" i="32"/>
  <c r="AJ29" i="32"/>
  <c r="AL28" i="32"/>
  <c r="AE28" i="32"/>
  <c r="AI28" i="32"/>
  <c r="AJ28" i="32"/>
  <c r="AL27" i="32"/>
  <c r="AE27" i="32"/>
  <c r="AI27" i="32"/>
  <c r="AJ27" i="32"/>
  <c r="AL26" i="32"/>
  <c r="AE26" i="32"/>
  <c r="AI26" i="32"/>
  <c r="AJ26" i="32"/>
  <c r="AL25" i="32"/>
  <c r="AE25" i="32"/>
  <c r="AI25" i="32"/>
  <c r="AJ25" i="32"/>
  <c r="AL24" i="32"/>
  <c r="AE24" i="32"/>
  <c r="AI24" i="32"/>
  <c r="AJ24" i="32"/>
  <c r="AL23" i="32"/>
  <c r="AE23" i="32"/>
  <c r="AI23" i="32"/>
  <c r="AJ23" i="32"/>
  <c r="AL22" i="32"/>
  <c r="AE22" i="32"/>
  <c r="AI22" i="32"/>
  <c r="AJ22" i="32"/>
  <c r="AL21" i="32"/>
  <c r="AE21" i="32"/>
  <c r="AI21" i="32"/>
  <c r="AJ21" i="32"/>
  <c r="AL20" i="32"/>
  <c r="AE20" i="32"/>
  <c r="AI20" i="32"/>
  <c r="AJ20" i="32"/>
  <c r="AL19" i="32"/>
  <c r="AE19" i="32"/>
  <c r="AI19" i="32"/>
  <c r="AJ19" i="32"/>
  <c r="AL18" i="32"/>
  <c r="AE18" i="32"/>
  <c r="AI18" i="32"/>
  <c r="AJ18" i="32"/>
  <c r="AL17" i="32"/>
  <c r="AE17" i="32"/>
  <c r="AI17" i="32"/>
  <c r="AJ17" i="32"/>
  <c r="AL16" i="32"/>
  <c r="AE16" i="32"/>
  <c r="AI16" i="32"/>
  <c r="AJ16" i="32"/>
  <c r="AL15" i="32"/>
  <c r="AE15" i="32"/>
  <c r="AI15" i="32"/>
  <c r="AJ15" i="32"/>
  <c r="AL14" i="32"/>
  <c r="AE14" i="32"/>
  <c r="AI14" i="32"/>
  <c r="AJ14" i="32"/>
  <c r="AL13" i="32"/>
  <c r="AE13" i="32"/>
  <c r="AI13" i="32"/>
  <c r="AJ13" i="32"/>
  <c r="AL12" i="32"/>
  <c r="AE12" i="32"/>
  <c r="AI12" i="32"/>
  <c r="AJ12" i="32"/>
  <c r="AL11" i="32"/>
  <c r="AE11" i="32"/>
  <c r="AI11" i="32"/>
  <c r="AJ11" i="32"/>
  <c r="AL10" i="32"/>
  <c r="AE10" i="32"/>
  <c r="AI10" i="32"/>
  <c r="AJ10" i="32"/>
  <c r="AL9" i="32"/>
  <c r="AE9" i="32"/>
  <c r="AI9" i="32"/>
  <c r="AJ9" i="32"/>
  <c r="AL8" i="32"/>
  <c r="AE8" i="32"/>
  <c r="AI8" i="32"/>
  <c r="AJ8" i="32"/>
  <c r="AL7" i="32"/>
  <c r="AE7" i="32"/>
  <c r="AI7" i="32"/>
  <c r="AJ7" i="32"/>
  <c r="AL6" i="32"/>
  <c r="AE6" i="32"/>
  <c r="AI6" i="32"/>
  <c r="AJ6" i="32"/>
  <c r="AL5" i="32"/>
  <c r="AE5" i="32"/>
  <c r="AI5" i="32"/>
  <c r="AJ5" i="32"/>
  <c r="AL4" i="32"/>
  <c r="AE4" i="32"/>
  <c r="AI4" i="32"/>
  <c r="AJ4" i="32"/>
  <c r="AL3" i="32"/>
  <c r="AE3" i="32"/>
  <c r="AI3" i="32"/>
  <c r="AJ3" i="32"/>
  <c r="AG37" i="33"/>
  <c r="AG36" i="33"/>
  <c r="AE34" i="33"/>
  <c r="AI34" i="33"/>
  <c r="AJ34" i="33" s="1"/>
  <c r="AL33" i="33"/>
  <c r="AE33" i="33"/>
  <c r="AI33" i="33" s="1"/>
  <c r="AJ33" i="33" s="1"/>
  <c r="AL32" i="33"/>
  <c r="AE32" i="33"/>
  <c r="AI32" i="33"/>
  <c r="AJ32" i="33" s="1"/>
  <c r="AL31" i="33"/>
  <c r="AE31" i="33"/>
  <c r="AI31" i="33"/>
  <c r="AJ31" i="33" s="1"/>
  <c r="AL30" i="33"/>
  <c r="AE30" i="33"/>
  <c r="AI30" i="33"/>
  <c r="AJ30" i="33" s="1"/>
  <c r="AL29" i="33"/>
  <c r="AE29" i="33"/>
  <c r="AI29" i="33" s="1"/>
  <c r="AJ29" i="33" s="1"/>
  <c r="AL28" i="33"/>
  <c r="AE28" i="33"/>
  <c r="AI28" i="33" s="1"/>
  <c r="AL27" i="33"/>
  <c r="AE27" i="33"/>
  <c r="AI27" i="33"/>
  <c r="AJ27" i="33" s="1"/>
  <c r="AL26" i="33"/>
  <c r="AE26" i="33"/>
  <c r="AI26" i="33"/>
  <c r="AJ26" i="33" s="1"/>
  <c r="AL25" i="33"/>
  <c r="AE25" i="33"/>
  <c r="AI25" i="33" s="1"/>
  <c r="AJ25" i="33" s="1"/>
  <c r="AL24" i="33"/>
  <c r="AE24" i="33"/>
  <c r="AI24" i="33"/>
  <c r="AJ24" i="33" s="1"/>
  <c r="AL23" i="33"/>
  <c r="AE23" i="33"/>
  <c r="AI23" i="33"/>
  <c r="AJ23" i="33" s="1"/>
  <c r="AL22" i="33"/>
  <c r="AE22" i="33"/>
  <c r="AI22" i="33"/>
  <c r="AJ22" i="33" s="1"/>
  <c r="AL21" i="33"/>
  <c r="AE21" i="33"/>
  <c r="AI21" i="33" s="1"/>
  <c r="AJ21" i="33" s="1"/>
  <c r="AL20" i="33"/>
  <c r="AE20" i="33"/>
  <c r="AI20" i="33"/>
  <c r="AJ20" i="33" s="1"/>
  <c r="AL19" i="33"/>
  <c r="AE19" i="33"/>
  <c r="AI19" i="33"/>
  <c r="AJ19" i="33" s="1"/>
  <c r="AL18" i="33"/>
  <c r="AE18" i="33"/>
  <c r="AI18" i="33"/>
  <c r="AJ18" i="33" s="1"/>
  <c r="AL17" i="33"/>
  <c r="AE17" i="33"/>
  <c r="AI17" i="33" s="1"/>
  <c r="AJ17" i="33" s="1"/>
  <c r="AL16" i="33"/>
  <c r="AE16" i="33"/>
  <c r="AI16" i="33"/>
  <c r="AJ16" i="33" s="1"/>
  <c r="AL15" i="33"/>
  <c r="AE15" i="33"/>
  <c r="AI15" i="33"/>
  <c r="AJ15" i="33" s="1"/>
  <c r="AL14" i="33"/>
  <c r="AE14" i="33"/>
  <c r="AI14" i="33"/>
  <c r="AJ14" i="33" s="1"/>
  <c r="AL13" i="33"/>
  <c r="AE13" i="33"/>
  <c r="AI13" i="33" s="1"/>
  <c r="AJ13" i="33" s="1"/>
  <c r="AL12" i="33"/>
  <c r="AE12" i="33"/>
  <c r="AI12" i="33" s="1"/>
  <c r="AJ12" i="33" s="1"/>
  <c r="AL11" i="33"/>
  <c r="AE11" i="33"/>
  <c r="AI11" i="33"/>
  <c r="AJ11" i="33" s="1"/>
  <c r="AL10" i="33"/>
  <c r="AE10" i="33"/>
  <c r="AI10" i="33"/>
  <c r="AJ10" i="33" s="1"/>
  <c r="AL9" i="33"/>
  <c r="AE9" i="33"/>
  <c r="AI9" i="33" s="1"/>
  <c r="AJ9" i="33" s="1"/>
  <c r="AL8" i="33"/>
  <c r="AE8" i="33"/>
  <c r="AI8" i="33"/>
  <c r="AJ8" i="33" s="1"/>
  <c r="AL7" i="33"/>
  <c r="AE7" i="33"/>
  <c r="AI7" i="33"/>
  <c r="AJ7" i="33" s="1"/>
  <c r="AL6" i="33"/>
  <c r="AE6" i="33"/>
  <c r="AI6" i="33"/>
  <c r="AJ6" i="33" s="1"/>
  <c r="AL5" i="33"/>
  <c r="AE5" i="33"/>
  <c r="AI5" i="33" s="1"/>
  <c r="AJ5" i="33" s="1"/>
  <c r="AL4" i="33"/>
  <c r="AE4" i="33"/>
  <c r="AI4" i="33"/>
  <c r="AJ4" i="33" s="1"/>
  <c r="AL3" i="33"/>
  <c r="AE3" i="33"/>
  <c r="AI3" i="33"/>
  <c r="AJ3" i="33" s="1"/>
  <c r="AG37" i="34"/>
  <c r="AG36" i="34"/>
  <c r="AE34" i="34"/>
  <c r="AI34" i="34" s="1"/>
  <c r="AJ34" i="34" s="1"/>
  <c r="AL33" i="34"/>
  <c r="AE33" i="34"/>
  <c r="AI33" i="34" s="1"/>
  <c r="AJ33" i="34" s="1"/>
  <c r="AL32" i="34"/>
  <c r="AE32" i="34"/>
  <c r="AI32" i="34" s="1"/>
  <c r="AJ32" i="34" s="1"/>
  <c r="AL31" i="34"/>
  <c r="AE31" i="34"/>
  <c r="AI31" i="34" s="1"/>
  <c r="AJ31" i="34" s="1"/>
  <c r="AL30" i="34"/>
  <c r="AE30" i="34"/>
  <c r="AI30" i="34" s="1"/>
  <c r="AJ30" i="34" s="1"/>
  <c r="AL29" i="34"/>
  <c r="AE29" i="34"/>
  <c r="AI29" i="34" s="1"/>
  <c r="AJ29" i="34" s="1"/>
  <c r="AL28" i="34"/>
  <c r="AE28" i="34"/>
  <c r="AI28" i="34" s="1"/>
  <c r="AJ28" i="34" s="1"/>
  <c r="AL27" i="34"/>
  <c r="AE27" i="34"/>
  <c r="AI27" i="34" s="1"/>
  <c r="AJ27" i="34" s="1"/>
  <c r="AL26" i="34"/>
  <c r="AE26" i="34"/>
  <c r="AI26" i="34" s="1"/>
  <c r="AJ26" i="34" s="1"/>
  <c r="AL25" i="34"/>
  <c r="AE25" i="34"/>
  <c r="AI25" i="34" s="1"/>
  <c r="AJ25" i="34" s="1"/>
  <c r="AL24" i="34"/>
  <c r="AE24" i="34"/>
  <c r="AI24" i="34" s="1"/>
  <c r="AJ24" i="34" s="1"/>
  <c r="AL23" i="34"/>
  <c r="AE23" i="34"/>
  <c r="AI23" i="34" s="1"/>
  <c r="AJ23" i="34" s="1"/>
  <c r="AL22" i="34"/>
  <c r="AE22" i="34"/>
  <c r="AI22" i="34" s="1"/>
  <c r="AJ22" i="34" s="1"/>
  <c r="AL21" i="34"/>
  <c r="AE21" i="34"/>
  <c r="AI21" i="34" s="1"/>
  <c r="AJ21" i="34" s="1"/>
  <c r="AL20" i="34"/>
  <c r="AE20" i="34"/>
  <c r="AI20" i="34" s="1"/>
  <c r="AJ20" i="34" s="1"/>
  <c r="AL19" i="34"/>
  <c r="AE19" i="34"/>
  <c r="AI19" i="34" s="1"/>
  <c r="AJ19" i="34" s="1"/>
  <c r="AL18" i="34"/>
  <c r="AE18" i="34"/>
  <c r="AI18" i="34" s="1"/>
  <c r="AJ18" i="34"/>
  <c r="AL17" i="34"/>
  <c r="AE17" i="34"/>
  <c r="AI17" i="34" s="1"/>
  <c r="AJ17" i="34"/>
  <c r="AL16" i="34"/>
  <c r="AE16" i="34"/>
  <c r="AI16" i="34" s="1"/>
  <c r="AJ16" i="34" s="1"/>
  <c r="AL15" i="34"/>
  <c r="AE15" i="34"/>
  <c r="AI15" i="34" s="1"/>
  <c r="AJ15" i="34"/>
  <c r="AL14" i="34"/>
  <c r="AE14" i="34"/>
  <c r="AI14" i="34" s="1"/>
  <c r="AJ14" i="34"/>
  <c r="AL13" i="34"/>
  <c r="AE13" i="34"/>
  <c r="AI13" i="34" s="1"/>
  <c r="AJ13" i="34"/>
  <c r="AL12" i="34"/>
  <c r="AE12" i="34"/>
  <c r="AI12" i="34" s="1"/>
  <c r="AJ12" i="34" s="1"/>
  <c r="AL11" i="34"/>
  <c r="AE11" i="34"/>
  <c r="AI11" i="34" s="1"/>
  <c r="AJ11" i="34" s="1"/>
  <c r="AL10" i="34"/>
  <c r="AE10" i="34"/>
  <c r="AI10" i="34" s="1"/>
  <c r="AJ10" i="34"/>
  <c r="AL9" i="34"/>
  <c r="AE9" i="34"/>
  <c r="AI9" i="34" s="1"/>
  <c r="AJ9" i="34"/>
  <c r="AL8" i="34"/>
  <c r="AE8" i="34"/>
  <c r="AI8" i="34" s="1"/>
  <c r="AJ8" i="34" s="1"/>
  <c r="AL7" i="34"/>
  <c r="AE7" i="34"/>
  <c r="AI7" i="34" s="1"/>
  <c r="AJ7" i="34"/>
  <c r="AL6" i="34"/>
  <c r="AE6" i="34"/>
  <c r="AI6" i="34" s="1"/>
  <c r="AJ6" i="34"/>
  <c r="AL5" i="34"/>
  <c r="AE5" i="34"/>
  <c r="AI5" i="34" s="1"/>
  <c r="AJ5" i="34"/>
  <c r="AL4" i="34"/>
  <c r="AE4" i="34"/>
  <c r="AI4" i="34" s="1"/>
  <c r="AJ4" i="34" s="1"/>
  <c r="AL3" i="34"/>
  <c r="AE3" i="34"/>
  <c r="AI3" i="34" s="1"/>
  <c r="AJ3" i="34"/>
  <c r="AG37" i="35"/>
  <c r="AG36" i="35"/>
  <c r="AE34" i="35"/>
  <c r="AI34" i="35"/>
  <c r="AJ34" i="35" s="1"/>
  <c r="AL33" i="35"/>
  <c r="AE33" i="35"/>
  <c r="AI33" i="35"/>
  <c r="AJ33" i="35" s="1"/>
  <c r="AL32" i="35"/>
  <c r="AE32" i="35"/>
  <c r="AI32" i="35"/>
  <c r="AJ32" i="35" s="1"/>
  <c r="AL31" i="35"/>
  <c r="AE31" i="35"/>
  <c r="AI31" i="35"/>
  <c r="AJ31" i="35" s="1"/>
  <c r="AL30" i="35"/>
  <c r="AE30" i="35"/>
  <c r="AI30" i="35"/>
  <c r="AJ30" i="35" s="1"/>
  <c r="AL29" i="35"/>
  <c r="AE29" i="35"/>
  <c r="AI29" i="35"/>
  <c r="AJ29" i="35" s="1"/>
  <c r="AL28" i="35"/>
  <c r="AE28" i="35"/>
  <c r="AI28" i="35"/>
  <c r="AJ28" i="35" s="1"/>
  <c r="AL27" i="35"/>
  <c r="AE27" i="35"/>
  <c r="AI27" i="35"/>
  <c r="AJ27" i="35" s="1"/>
  <c r="AL26" i="35"/>
  <c r="AE26" i="35"/>
  <c r="AI26" i="35"/>
  <c r="AJ26" i="35" s="1"/>
  <c r="AL25" i="35"/>
  <c r="AE25" i="35"/>
  <c r="AI25" i="35"/>
  <c r="AJ25" i="35" s="1"/>
  <c r="AL24" i="35"/>
  <c r="AE24" i="35"/>
  <c r="AI24" i="35"/>
  <c r="AJ24" i="35" s="1"/>
  <c r="AL23" i="35"/>
  <c r="AE23" i="35"/>
  <c r="AI23" i="35"/>
  <c r="AJ23" i="35" s="1"/>
  <c r="AL22" i="35"/>
  <c r="AE22" i="35"/>
  <c r="AI22" i="35"/>
  <c r="AJ22" i="35" s="1"/>
  <c r="AL21" i="35"/>
  <c r="AE21" i="35"/>
  <c r="AI21" i="35"/>
  <c r="AJ21" i="35" s="1"/>
  <c r="AL20" i="35"/>
  <c r="AE20" i="35"/>
  <c r="AI20" i="35"/>
  <c r="AJ20" i="35" s="1"/>
  <c r="AL19" i="35"/>
  <c r="AE19" i="35"/>
  <c r="AI19" i="35"/>
  <c r="AJ19" i="35" s="1"/>
  <c r="AL18" i="35"/>
  <c r="AE18" i="35"/>
  <c r="AI18" i="35"/>
  <c r="AJ18" i="35" s="1"/>
  <c r="AL17" i="35"/>
  <c r="AE17" i="35"/>
  <c r="AI17" i="35"/>
  <c r="AJ17" i="35" s="1"/>
  <c r="AL16" i="35"/>
  <c r="AE16" i="35"/>
  <c r="AI16" i="35"/>
  <c r="AJ16" i="35" s="1"/>
  <c r="AL15" i="35"/>
  <c r="AE15" i="35"/>
  <c r="AI15" i="35"/>
  <c r="AJ15" i="35" s="1"/>
  <c r="AL14" i="35"/>
  <c r="AE14" i="35"/>
  <c r="AI14" i="35"/>
  <c r="AJ14" i="35" s="1"/>
  <c r="AL13" i="35"/>
  <c r="AE13" i="35"/>
  <c r="AI13" i="35"/>
  <c r="AJ13" i="35" s="1"/>
  <c r="AL12" i="35"/>
  <c r="AE12" i="35"/>
  <c r="AI12" i="35"/>
  <c r="AJ12" i="35" s="1"/>
  <c r="AL11" i="35"/>
  <c r="AE11" i="35"/>
  <c r="AI11" i="35"/>
  <c r="AJ11" i="35" s="1"/>
  <c r="AL10" i="35"/>
  <c r="AE10" i="35"/>
  <c r="AI10" i="35"/>
  <c r="AJ10" i="35" s="1"/>
  <c r="AL9" i="35"/>
  <c r="AE9" i="35"/>
  <c r="AI9" i="35"/>
  <c r="AJ9" i="35" s="1"/>
  <c r="AL8" i="35"/>
  <c r="AE8" i="35"/>
  <c r="AI8" i="35"/>
  <c r="AJ8" i="35" s="1"/>
  <c r="AL7" i="35"/>
  <c r="AE7" i="35"/>
  <c r="AI7" i="35"/>
  <c r="AJ7" i="35" s="1"/>
  <c r="AL6" i="35"/>
  <c r="AE6" i="35"/>
  <c r="AI6" i="35"/>
  <c r="AJ6" i="35" s="1"/>
  <c r="AL5" i="35"/>
  <c r="AE5" i="35"/>
  <c r="AI5" i="35"/>
  <c r="AJ5" i="35" s="1"/>
  <c r="AL4" i="35"/>
  <c r="AE4" i="35"/>
  <c r="AI4" i="35"/>
  <c r="AJ4" i="35" s="1"/>
  <c r="AL3" i="35"/>
  <c r="AE3" i="35"/>
  <c r="AI3" i="35"/>
  <c r="AJ3" i="35" s="1"/>
  <c r="AG37" i="36"/>
  <c r="AG36" i="36"/>
  <c r="AE34" i="36"/>
  <c r="AI34" i="36" s="1"/>
  <c r="AJ34" i="36" s="1"/>
  <c r="AL33" i="36"/>
  <c r="AE33" i="36"/>
  <c r="AI33" i="36" s="1"/>
  <c r="AJ33" i="36" s="1"/>
  <c r="AL32" i="36"/>
  <c r="AE32" i="36"/>
  <c r="AI32" i="36" s="1"/>
  <c r="AJ32" i="36" s="1"/>
  <c r="AL31" i="36"/>
  <c r="AE31" i="36"/>
  <c r="AI31" i="36" s="1"/>
  <c r="AJ31" i="36" s="1"/>
  <c r="AL30" i="36"/>
  <c r="AE30" i="36"/>
  <c r="AI30" i="36" s="1"/>
  <c r="AJ30" i="36" s="1"/>
  <c r="AL29" i="36"/>
  <c r="AE29" i="36"/>
  <c r="AI29" i="36" s="1"/>
  <c r="AJ29" i="36" s="1"/>
  <c r="AL28" i="36"/>
  <c r="AE28" i="36"/>
  <c r="AI28" i="36" s="1"/>
  <c r="AJ28" i="36" s="1"/>
  <c r="AL27" i="36"/>
  <c r="AE27" i="36"/>
  <c r="AI27" i="36" s="1"/>
  <c r="AJ27" i="36" s="1"/>
  <c r="AL26" i="36"/>
  <c r="AE26" i="36"/>
  <c r="AI26" i="36" s="1"/>
  <c r="AJ26" i="36" s="1"/>
  <c r="AL25" i="36"/>
  <c r="AE25" i="36"/>
  <c r="AI25" i="36" s="1"/>
  <c r="AJ25" i="36" s="1"/>
  <c r="AL24" i="36"/>
  <c r="AE24" i="36"/>
  <c r="AI24" i="36" s="1"/>
  <c r="AJ24" i="36" s="1"/>
  <c r="AL23" i="36"/>
  <c r="AE23" i="36"/>
  <c r="AI23" i="36" s="1"/>
  <c r="AJ23" i="36" s="1"/>
  <c r="AL22" i="36"/>
  <c r="AE22" i="36"/>
  <c r="AI22" i="36" s="1"/>
  <c r="AJ22" i="36" s="1"/>
  <c r="AL21" i="36"/>
  <c r="AE21" i="36"/>
  <c r="AI21" i="36" s="1"/>
  <c r="AJ21" i="36" s="1"/>
  <c r="AL20" i="36"/>
  <c r="AE20" i="36"/>
  <c r="AI20" i="36" s="1"/>
  <c r="AJ20" i="36" s="1"/>
  <c r="AL19" i="36"/>
  <c r="AE19" i="36"/>
  <c r="AI19" i="36" s="1"/>
  <c r="AJ19" i="36" s="1"/>
  <c r="AL18" i="36"/>
  <c r="AE18" i="36"/>
  <c r="AI18" i="36" s="1"/>
  <c r="AJ18" i="36" s="1"/>
  <c r="AL17" i="36"/>
  <c r="AE17" i="36"/>
  <c r="AI17" i="36" s="1"/>
  <c r="AJ17" i="36" s="1"/>
  <c r="AL16" i="36"/>
  <c r="AE16" i="36"/>
  <c r="AI16" i="36" s="1"/>
  <c r="AJ16" i="36" s="1"/>
  <c r="AL15" i="36"/>
  <c r="AE15" i="36"/>
  <c r="AI15" i="36" s="1"/>
  <c r="AJ15" i="36" s="1"/>
  <c r="AL14" i="36"/>
  <c r="AE14" i="36"/>
  <c r="AI14" i="36" s="1"/>
  <c r="AJ14" i="36" s="1"/>
  <c r="AL13" i="36"/>
  <c r="AE13" i="36"/>
  <c r="AI13" i="36" s="1"/>
  <c r="AJ13" i="36" s="1"/>
  <c r="AL12" i="36"/>
  <c r="AE12" i="36"/>
  <c r="AI12" i="36" s="1"/>
  <c r="AJ12" i="36" s="1"/>
  <c r="AL11" i="36"/>
  <c r="AE11" i="36"/>
  <c r="AI11" i="36" s="1"/>
  <c r="AJ11" i="36" s="1"/>
  <c r="AL10" i="36"/>
  <c r="AE10" i="36"/>
  <c r="AI10" i="36" s="1"/>
  <c r="AJ10" i="36" s="1"/>
  <c r="AL9" i="36"/>
  <c r="AE9" i="36"/>
  <c r="AI9" i="36" s="1"/>
  <c r="AJ9" i="36" s="1"/>
  <c r="AL8" i="36"/>
  <c r="AE8" i="36"/>
  <c r="AI8" i="36" s="1"/>
  <c r="AJ8" i="36" s="1"/>
  <c r="AL7" i="36"/>
  <c r="AE7" i="36"/>
  <c r="AI7" i="36" s="1"/>
  <c r="AJ7" i="36" s="1"/>
  <c r="AL6" i="36"/>
  <c r="AE6" i="36"/>
  <c r="AI6" i="36" s="1"/>
  <c r="AJ6" i="36" s="1"/>
  <c r="AL5" i="36"/>
  <c r="AE5" i="36"/>
  <c r="AI5" i="36" s="1"/>
  <c r="AJ5" i="36" s="1"/>
  <c r="AL4" i="36"/>
  <c r="AE4" i="36"/>
  <c r="AI4" i="36" s="1"/>
  <c r="AJ4" i="36" s="1"/>
  <c r="AL3" i="36"/>
  <c r="AE3" i="36"/>
  <c r="AI3" i="36" s="1"/>
  <c r="AJ3" i="36" s="1"/>
  <c r="AG37" i="37"/>
  <c r="AG36" i="37"/>
  <c r="AE34" i="37"/>
  <c r="AI34" i="37"/>
  <c r="AJ34" i="37" s="1"/>
  <c r="AL33" i="37"/>
  <c r="AE33" i="37"/>
  <c r="AI33" i="37" s="1"/>
  <c r="AJ33" i="37" s="1"/>
  <c r="AL32" i="37"/>
  <c r="AE32" i="37"/>
  <c r="AI32" i="37"/>
  <c r="AJ32" i="37" s="1"/>
  <c r="AL31" i="37"/>
  <c r="AE31" i="37"/>
  <c r="AI31" i="37"/>
  <c r="AJ31" i="37" s="1"/>
  <c r="AL30" i="37"/>
  <c r="AE30" i="37"/>
  <c r="AI30" i="37"/>
  <c r="AJ30" i="37" s="1"/>
  <c r="AL29" i="37"/>
  <c r="AE29" i="37"/>
  <c r="AI29" i="37" s="1"/>
  <c r="AJ29" i="37" s="1"/>
  <c r="AL28" i="37"/>
  <c r="AE28" i="37"/>
  <c r="AI28" i="37" s="1"/>
  <c r="AJ28" i="37" s="1"/>
  <c r="AL27" i="37"/>
  <c r="AE27" i="37"/>
  <c r="AI27" i="37"/>
  <c r="AJ27" i="37" s="1"/>
  <c r="AL26" i="37"/>
  <c r="AE26" i="37"/>
  <c r="AI26" i="37"/>
  <c r="AJ26" i="37" s="1"/>
  <c r="AL25" i="37"/>
  <c r="AE25" i="37"/>
  <c r="AI25" i="37" s="1"/>
  <c r="AJ25" i="37" s="1"/>
  <c r="AL24" i="37"/>
  <c r="AE24" i="37"/>
  <c r="AI24" i="37"/>
  <c r="AL23" i="37"/>
  <c r="AE23" i="37"/>
  <c r="AI23" i="37"/>
  <c r="AJ23" i="37" s="1"/>
  <c r="AL22" i="37"/>
  <c r="AE22" i="37"/>
  <c r="AI22" i="37"/>
  <c r="AJ22" i="37" s="1"/>
  <c r="AL21" i="37"/>
  <c r="AE21" i="37"/>
  <c r="AI21" i="37" s="1"/>
  <c r="AJ21" i="37" s="1"/>
  <c r="AL20" i="37"/>
  <c r="AE20" i="37"/>
  <c r="AI20" i="37"/>
  <c r="AJ20" i="37" s="1"/>
  <c r="AL19" i="37"/>
  <c r="AE19" i="37"/>
  <c r="AI19" i="37"/>
  <c r="AJ19" i="37" s="1"/>
  <c r="AL18" i="37"/>
  <c r="AE18" i="37"/>
  <c r="AI18" i="37"/>
  <c r="AJ18" i="37" s="1"/>
  <c r="AL17" i="37"/>
  <c r="AE17" i="37"/>
  <c r="AI17" i="37" s="1"/>
  <c r="AJ17" i="37" s="1"/>
  <c r="AL16" i="37"/>
  <c r="AE16" i="37"/>
  <c r="AI16" i="37"/>
  <c r="AJ16" i="37" s="1"/>
  <c r="AL15" i="37"/>
  <c r="AE15" i="37"/>
  <c r="AI15" i="37"/>
  <c r="AJ15" i="37" s="1"/>
  <c r="AL14" i="37"/>
  <c r="AE14" i="37"/>
  <c r="AI14" i="37"/>
  <c r="AJ14" i="37" s="1"/>
  <c r="AL13" i="37"/>
  <c r="AE13" i="37"/>
  <c r="AI13" i="37" s="1"/>
  <c r="AJ13" i="37" s="1"/>
  <c r="AL12" i="37"/>
  <c r="AE12" i="37"/>
  <c r="AI12" i="37" s="1"/>
  <c r="AJ12" i="37" s="1"/>
  <c r="AL11" i="37"/>
  <c r="AE11" i="37"/>
  <c r="AI11" i="37"/>
  <c r="AJ11" i="37" s="1"/>
  <c r="AL10" i="37"/>
  <c r="AE10" i="37"/>
  <c r="AI10" i="37"/>
  <c r="AJ10" i="37" s="1"/>
  <c r="AL9" i="37"/>
  <c r="AE9" i="37"/>
  <c r="AI9" i="37" s="1"/>
  <c r="AJ9" i="37" s="1"/>
  <c r="AL8" i="37"/>
  <c r="AE8" i="37"/>
  <c r="AI8" i="37"/>
  <c r="AJ8" i="37" s="1"/>
  <c r="AL7" i="37"/>
  <c r="AE7" i="37"/>
  <c r="AI7" i="37"/>
  <c r="AJ7" i="37" s="1"/>
  <c r="AL6" i="37"/>
  <c r="AE6" i="37"/>
  <c r="AI6" i="37"/>
  <c r="AJ6" i="37" s="1"/>
  <c r="AL5" i="37"/>
  <c r="AE5" i="37"/>
  <c r="AI5" i="37" s="1"/>
  <c r="AJ5" i="37" s="1"/>
  <c r="AL4" i="37"/>
  <c r="AE4" i="37"/>
  <c r="AI4" i="37"/>
  <c r="AJ4" i="37" s="1"/>
  <c r="AL3" i="37"/>
  <c r="AE3" i="37"/>
  <c r="AI3" i="37"/>
  <c r="AJ3" i="37" s="1"/>
  <c r="AG37" i="38"/>
  <c r="AG36" i="38"/>
  <c r="AE34" i="38"/>
  <c r="AI34" i="38" s="1"/>
  <c r="AJ34" i="38"/>
  <c r="AL33" i="38"/>
  <c r="AE33" i="38"/>
  <c r="AI33" i="38" s="1"/>
  <c r="AJ33" i="38"/>
  <c r="AL32" i="38"/>
  <c r="AE32" i="38"/>
  <c r="AI32" i="38" s="1"/>
  <c r="AJ32" i="38" s="1"/>
  <c r="AL31" i="38"/>
  <c r="AE31" i="38"/>
  <c r="AI31" i="38" s="1"/>
  <c r="AJ31" i="38"/>
  <c r="AL30" i="38"/>
  <c r="AE30" i="38"/>
  <c r="AI30" i="38" s="1"/>
  <c r="AJ30" i="38"/>
  <c r="AL29" i="38"/>
  <c r="AE29" i="38"/>
  <c r="AI29" i="38" s="1"/>
  <c r="AJ29" i="38"/>
  <c r="AL28" i="38"/>
  <c r="AE28" i="38"/>
  <c r="AI28" i="38" s="1"/>
  <c r="AJ28" i="38" s="1"/>
  <c r="AL27" i="38"/>
  <c r="AE27" i="38"/>
  <c r="AI27" i="38" s="1"/>
  <c r="AJ27" i="38" s="1"/>
  <c r="AL26" i="38"/>
  <c r="AE26" i="38"/>
  <c r="AI26" i="38" s="1"/>
  <c r="AJ26" i="38"/>
  <c r="AL25" i="38"/>
  <c r="AE25" i="38"/>
  <c r="AI25" i="38" s="1"/>
  <c r="AJ25" i="38"/>
  <c r="AL24" i="38"/>
  <c r="AE24" i="38"/>
  <c r="AI24" i="38" s="1"/>
  <c r="AJ24" i="38" s="1"/>
  <c r="AL23" i="38"/>
  <c r="AE23" i="38"/>
  <c r="AI23" i="38" s="1"/>
  <c r="AJ23" i="38"/>
  <c r="AL22" i="38"/>
  <c r="AE22" i="38"/>
  <c r="AI22" i="38" s="1"/>
  <c r="AJ22" i="38"/>
  <c r="AL21" i="38"/>
  <c r="AE21" i="38"/>
  <c r="AI21" i="38" s="1"/>
  <c r="AJ21" i="38"/>
  <c r="AL20" i="38"/>
  <c r="AE20" i="38"/>
  <c r="AI20" i="38" s="1"/>
  <c r="AJ20" i="38" s="1"/>
  <c r="AL19" i="38"/>
  <c r="AE19" i="38"/>
  <c r="AI19" i="38" s="1"/>
  <c r="AJ19" i="38"/>
  <c r="AL18" i="38"/>
  <c r="AE18" i="38"/>
  <c r="AI18" i="38" s="1"/>
  <c r="AJ18" i="38"/>
  <c r="AL17" i="38"/>
  <c r="AE17" i="38"/>
  <c r="AI17" i="38"/>
  <c r="AJ17" i="38"/>
  <c r="AL16" i="38"/>
  <c r="AE16" i="38"/>
  <c r="AI16" i="38"/>
  <c r="AJ16" i="38"/>
  <c r="AL15" i="38"/>
  <c r="AE15" i="38"/>
  <c r="AI15" i="38"/>
  <c r="AJ15" i="38"/>
  <c r="AL14" i="38"/>
  <c r="AE14" i="38"/>
  <c r="AI14" i="38"/>
  <c r="AJ14" i="38"/>
  <c r="AL13" i="38"/>
  <c r="AE13" i="38"/>
  <c r="AI13" i="38"/>
  <c r="AJ13" i="38"/>
  <c r="AL12" i="38"/>
  <c r="AE12" i="38"/>
  <c r="AI12" i="38"/>
  <c r="AJ12" i="38"/>
  <c r="AL11" i="38"/>
  <c r="AE11" i="38"/>
  <c r="AI11" i="38"/>
  <c r="AJ11" i="38"/>
  <c r="AL10" i="38"/>
  <c r="AE10" i="38"/>
  <c r="AI10" i="38"/>
  <c r="AJ10" i="38"/>
  <c r="AL9" i="38"/>
  <c r="AE9" i="38"/>
  <c r="AI9" i="38"/>
  <c r="AJ9" i="38"/>
  <c r="AL8" i="38"/>
  <c r="AE8" i="38"/>
  <c r="AI8" i="38"/>
  <c r="AJ8" i="38"/>
  <c r="AL7" i="38"/>
  <c r="AE7" i="38"/>
  <c r="AI7" i="38"/>
  <c r="AJ7" i="38"/>
  <c r="AL6" i="38"/>
  <c r="AE6" i="38"/>
  <c r="AI6" i="38"/>
  <c r="AJ6" i="38"/>
  <c r="AL5" i="38"/>
  <c r="AE5" i="38"/>
  <c r="AI5" i="38"/>
  <c r="AJ5" i="38"/>
  <c r="AL4" i="38"/>
  <c r="AE4" i="38"/>
  <c r="AI4" i="38"/>
  <c r="AJ4" i="38"/>
  <c r="AL3" i="38"/>
  <c r="AE3" i="38"/>
  <c r="AI3" i="38"/>
  <c r="AJ3" i="38"/>
  <c r="AG37" i="39"/>
  <c r="AG36" i="39"/>
  <c r="AE34" i="39"/>
  <c r="AI34" i="39"/>
  <c r="AJ34" i="39"/>
  <c r="AL33" i="39"/>
  <c r="AE33" i="39"/>
  <c r="AI33" i="39"/>
  <c r="AJ33" i="39"/>
  <c r="AL32" i="39"/>
  <c r="AE32" i="39"/>
  <c r="AI32" i="39"/>
  <c r="AJ32" i="39"/>
  <c r="AL31" i="39"/>
  <c r="AE31" i="39"/>
  <c r="AI31" i="39"/>
  <c r="AJ31" i="39"/>
  <c r="AL30" i="39"/>
  <c r="AE30" i="39"/>
  <c r="AI30" i="39"/>
  <c r="AJ30" i="39"/>
  <c r="AL29" i="39"/>
  <c r="AE29" i="39"/>
  <c r="AI29" i="39"/>
  <c r="AJ29" i="39"/>
  <c r="AL28" i="39"/>
  <c r="AE28" i="39"/>
  <c r="AI28" i="39"/>
  <c r="AJ28" i="39"/>
  <c r="AL27" i="39"/>
  <c r="AE27" i="39"/>
  <c r="AI27" i="39"/>
  <c r="AJ27" i="39"/>
  <c r="AL26" i="39"/>
  <c r="AE26" i="39"/>
  <c r="AI26" i="39"/>
  <c r="AJ26" i="39"/>
  <c r="AL25" i="39"/>
  <c r="AE25" i="39"/>
  <c r="AI25" i="39"/>
  <c r="AJ25" i="39"/>
  <c r="AL24" i="39"/>
  <c r="AE24" i="39"/>
  <c r="AI24" i="39"/>
  <c r="AJ24" i="39"/>
  <c r="AL23" i="39"/>
  <c r="AE23" i="39"/>
  <c r="AI23" i="39"/>
  <c r="AJ23" i="39"/>
  <c r="AL22" i="39"/>
  <c r="AE22" i="39"/>
  <c r="AI22" i="39"/>
  <c r="AJ22" i="39"/>
  <c r="AL21" i="39"/>
  <c r="AE21" i="39"/>
  <c r="AI21" i="39"/>
  <c r="AJ21" i="39"/>
  <c r="AL20" i="39"/>
  <c r="AE20" i="39"/>
  <c r="AI20" i="39"/>
  <c r="AJ20" i="39"/>
  <c r="AL19" i="39"/>
  <c r="AE19" i="39"/>
  <c r="AI19" i="39"/>
  <c r="AJ19" i="39"/>
  <c r="AL18" i="39"/>
  <c r="AE18" i="39"/>
  <c r="AI18" i="39"/>
  <c r="AJ18" i="39"/>
  <c r="AL17" i="39"/>
  <c r="AE17" i="39"/>
  <c r="AI17" i="39"/>
  <c r="AJ17" i="39"/>
  <c r="AL16" i="39"/>
  <c r="AE16" i="39"/>
  <c r="AI16" i="39"/>
  <c r="AJ16" i="39"/>
  <c r="AL15" i="39"/>
  <c r="AE15" i="39"/>
  <c r="AI15" i="39"/>
  <c r="AJ15" i="39"/>
  <c r="AL14" i="39"/>
  <c r="AE14" i="39"/>
  <c r="AI14" i="39"/>
  <c r="AJ14" i="39"/>
  <c r="AL13" i="39"/>
  <c r="AE13" i="39"/>
  <c r="AI13" i="39"/>
  <c r="AJ13" i="39"/>
  <c r="AL12" i="39"/>
  <c r="AE12" i="39"/>
  <c r="AI12" i="39"/>
  <c r="AJ12" i="39"/>
  <c r="AL11" i="39"/>
  <c r="AE11" i="39"/>
  <c r="AI11" i="39"/>
  <c r="AJ11" i="39"/>
  <c r="AL10" i="39"/>
  <c r="AE10" i="39"/>
  <c r="AI10" i="39"/>
  <c r="AJ10" i="39"/>
  <c r="AL9" i="39"/>
  <c r="AE9" i="39"/>
  <c r="AI9" i="39"/>
  <c r="AJ9" i="39"/>
  <c r="AL8" i="39"/>
  <c r="AE8" i="39"/>
  <c r="AI8" i="39"/>
  <c r="AJ8" i="39"/>
  <c r="AL7" i="39"/>
  <c r="AE7" i="39"/>
  <c r="AI7" i="39"/>
  <c r="AJ7" i="39"/>
  <c r="AL6" i="39"/>
  <c r="AE6" i="39"/>
  <c r="AI6" i="39"/>
  <c r="AJ6" i="39"/>
  <c r="AL5" i="39"/>
  <c r="AE5" i="39"/>
  <c r="AI5" i="39"/>
  <c r="AJ5" i="39"/>
  <c r="AL4" i="39"/>
  <c r="AE4" i="39"/>
  <c r="AI4" i="39"/>
  <c r="AJ4" i="39"/>
  <c r="AL3" i="39"/>
  <c r="AE3" i="39"/>
  <c r="AI3" i="39"/>
  <c r="AJ3" i="39"/>
  <c r="AG37" i="40"/>
  <c r="AG36" i="40"/>
  <c r="AE34" i="40"/>
  <c r="AI34" i="40"/>
  <c r="AJ34" i="40" s="1"/>
  <c r="AL33" i="40"/>
  <c r="AE33" i="40"/>
  <c r="AI33" i="40"/>
  <c r="AJ33" i="40" s="1"/>
  <c r="AL32" i="40"/>
  <c r="AE32" i="40"/>
  <c r="AI32" i="40" s="1"/>
  <c r="AJ32" i="40" s="1"/>
  <c r="AL31" i="40"/>
  <c r="AE31" i="40"/>
  <c r="AI31" i="40"/>
  <c r="AJ31" i="40" s="1"/>
  <c r="AL30" i="40"/>
  <c r="AE30" i="40"/>
  <c r="AI30" i="40"/>
  <c r="AJ30" i="40" s="1"/>
  <c r="AL29" i="40"/>
  <c r="AE29" i="40"/>
  <c r="AI29" i="40"/>
  <c r="AJ29" i="40" s="1"/>
  <c r="AL28" i="40"/>
  <c r="AE28" i="40"/>
  <c r="AI28" i="40" s="1"/>
  <c r="AJ28" i="40" s="1"/>
  <c r="AL27" i="40"/>
  <c r="AE27" i="40"/>
  <c r="AI27" i="40"/>
  <c r="AJ27" i="40" s="1"/>
  <c r="AL26" i="40"/>
  <c r="AE26" i="40"/>
  <c r="AI26" i="40"/>
  <c r="AJ26" i="40" s="1"/>
  <c r="AL25" i="40"/>
  <c r="AE25" i="40"/>
  <c r="AI25" i="40"/>
  <c r="AJ25" i="40" s="1"/>
  <c r="AL24" i="40"/>
  <c r="AE24" i="40"/>
  <c r="AI24" i="40" s="1"/>
  <c r="AJ24" i="40" s="1"/>
  <c r="AL23" i="40"/>
  <c r="AE23" i="40"/>
  <c r="AI23" i="40"/>
  <c r="AJ23" i="40" s="1"/>
  <c r="AL22" i="40"/>
  <c r="AE22" i="40"/>
  <c r="AI22" i="40"/>
  <c r="AJ22" i="40" s="1"/>
  <c r="AL21" i="40"/>
  <c r="AE21" i="40"/>
  <c r="AI21" i="40"/>
  <c r="AJ21" i="40" s="1"/>
  <c r="AL20" i="40"/>
  <c r="AE20" i="40"/>
  <c r="AI20" i="40" s="1"/>
  <c r="AJ20" i="40" s="1"/>
  <c r="AL19" i="40"/>
  <c r="AE19" i="40"/>
  <c r="AI19" i="40"/>
  <c r="AJ19" i="40" s="1"/>
  <c r="AL18" i="40"/>
  <c r="AE18" i="40"/>
  <c r="AI18" i="40"/>
  <c r="AJ18" i="40" s="1"/>
  <c r="AL17" i="40"/>
  <c r="AE17" i="40"/>
  <c r="AI17" i="40"/>
  <c r="AJ17" i="40" s="1"/>
  <c r="AL16" i="40"/>
  <c r="AE16" i="40"/>
  <c r="AI16" i="40" s="1"/>
  <c r="AJ16" i="40" s="1"/>
  <c r="AL15" i="40"/>
  <c r="AE15" i="40"/>
  <c r="AI15" i="40"/>
  <c r="AJ15" i="40" s="1"/>
  <c r="AL14" i="40"/>
  <c r="AE14" i="40"/>
  <c r="AI14" i="40"/>
  <c r="AJ14" i="40" s="1"/>
  <c r="AL13" i="40"/>
  <c r="AE13" i="40"/>
  <c r="AI13" i="40"/>
  <c r="AJ13" i="40" s="1"/>
  <c r="AL12" i="40"/>
  <c r="AE12" i="40"/>
  <c r="AI12" i="40" s="1"/>
  <c r="AJ12" i="40" s="1"/>
  <c r="AL11" i="40"/>
  <c r="AE11" i="40"/>
  <c r="AI11" i="40"/>
  <c r="AJ11" i="40" s="1"/>
  <c r="AL10" i="40"/>
  <c r="AE10" i="40"/>
  <c r="AI10" i="40"/>
  <c r="AJ10" i="40" s="1"/>
  <c r="AL9" i="40"/>
  <c r="AE9" i="40"/>
  <c r="AI9" i="40"/>
  <c r="AJ9" i="40" s="1"/>
  <c r="AL8" i="40"/>
  <c r="AE8" i="40"/>
  <c r="AI8" i="40" s="1"/>
  <c r="AJ8" i="40" s="1"/>
  <c r="AJ36" i="40" s="1"/>
  <c r="AL7" i="40"/>
  <c r="AE7" i="40"/>
  <c r="AI7" i="40"/>
  <c r="AJ7" i="40" s="1"/>
  <c r="AL6" i="40"/>
  <c r="AE6" i="40"/>
  <c r="AI6" i="40"/>
  <c r="AJ6" i="40" s="1"/>
  <c r="AL5" i="40"/>
  <c r="AE5" i="40"/>
  <c r="AI5" i="40"/>
  <c r="AJ5" i="40" s="1"/>
  <c r="AL4" i="40"/>
  <c r="AE4" i="40"/>
  <c r="AI4" i="40" s="1"/>
  <c r="AJ4" i="40" s="1"/>
  <c r="AL3" i="40"/>
  <c r="AE3" i="40"/>
  <c r="AI3" i="40"/>
  <c r="AJ3" i="40" s="1"/>
  <c r="AG37" i="41"/>
  <c r="AG36" i="41"/>
  <c r="AE34" i="41"/>
  <c r="AI34" i="41" s="1"/>
  <c r="AJ34" i="41"/>
  <c r="AL33" i="41"/>
  <c r="AE33" i="41"/>
  <c r="AI33" i="41" s="1"/>
  <c r="AJ33" i="41"/>
  <c r="AL32" i="41"/>
  <c r="AE32" i="41"/>
  <c r="AI32" i="41" s="1"/>
  <c r="AJ32" i="41"/>
  <c r="AL31" i="41"/>
  <c r="AE31" i="41"/>
  <c r="AI31" i="41" s="1"/>
  <c r="AJ31" i="41" s="1"/>
  <c r="AL30" i="41"/>
  <c r="AE30" i="41"/>
  <c r="AI30" i="41" s="1"/>
  <c r="AJ30" i="41"/>
  <c r="AL29" i="41"/>
  <c r="AE29" i="41"/>
  <c r="AI29" i="41" s="1"/>
  <c r="AJ29" i="41"/>
  <c r="AL28" i="41"/>
  <c r="AE28" i="41"/>
  <c r="AI28" i="41" s="1"/>
  <c r="AJ28" i="41"/>
  <c r="AL27" i="41"/>
  <c r="AE27" i="41"/>
  <c r="AI27" i="41" s="1"/>
  <c r="AJ27" i="41" s="1"/>
  <c r="AL26" i="41"/>
  <c r="AE26" i="41"/>
  <c r="AI26" i="41" s="1"/>
  <c r="AJ26" i="41"/>
  <c r="AL25" i="41"/>
  <c r="AE25" i="41"/>
  <c r="AI25" i="41" s="1"/>
  <c r="AJ25" i="41"/>
  <c r="AL24" i="41"/>
  <c r="AE24" i="41"/>
  <c r="AI24" i="41" s="1"/>
  <c r="AJ24" i="41"/>
  <c r="AL23" i="41"/>
  <c r="AE23" i="41"/>
  <c r="AI23" i="41" s="1"/>
  <c r="AJ23" i="41" s="1"/>
  <c r="AL22" i="41"/>
  <c r="AE22" i="41"/>
  <c r="AI22" i="41" s="1"/>
  <c r="AJ22" i="41" s="1"/>
  <c r="AL21" i="41"/>
  <c r="AE21" i="41"/>
  <c r="AI21" i="41" s="1"/>
  <c r="AJ21" i="41"/>
  <c r="AL20" i="41"/>
  <c r="AE20" i="41"/>
  <c r="AI20" i="41" s="1"/>
  <c r="AJ20" i="41"/>
  <c r="AL19" i="41"/>
  <c r="AE19" i="41"/>
  <c r="AI19" i="41" s="1"/>
  <c r="AJ19" i="41" s="1"/>
  <c r="AL18" i="41"/>
  <c r="AE18" i="41"/>
  <c r="AI18" i="41" s="1"/>
  <c r="AJ18" i="41"/>
  <c r="AL17" i="41"/>
  <c r="AE17" i="41"/>
  <c r="AI17" i="41" s="1"/>
  <c r="AJ17" i="41"/>
  <c r="AL16" i="41"/>
  <c r="AE16" i="41"/>
  <c r="AI16" i="41" s="1"/>
  <c r="AJ16" i="41"/>
  <c r="AL15" i="41"/>
  <c r="AE15" i="41"/>
  <c r="AI15" i="41" s="1"/>
  <c r="AJ15" i="41" s="1"/>
  <c r="AL14" i="41"/>
  <c r="AE14" i="41"/>
  <c r="AI14" i="41" s="1"/>
  <c r="AL13" i="41"/>
  <c r="AE13" i="41"/>
  <c r="AI13" i="41" s="1"/>
  <c r="AJ13" i="41"/>
  <c r="AL12" i="41"/>
  <c r="AE12" i="41"/>
  <c r="AI12" i="41" s="1"/>
  <c r="AJ12" i="41"/>
  <c r="AL11" i="41"/>
  <c r="AE11" i="41"/>
  <c r="AI11" i="41" s="1"/>
  <c r="AJ11" i="41" s="1"/>
  <c r="AL10" i="41"/>
  <c r="AE10" i="41"/>
  <c r="AI10" i="41" s="1"/>
  <c r="AJ10" i="41"/>
  <c r="AL9" i="41"/>
  <c r="AE9" i="41"/>
  <c r="AI9" i="41" s="1"/>
  <c r="AJ9" i="41"/>
  <c r="AL8" i="41"/>
  <c r="AE8" i="41"/>
  <c r="AI8" i="41" s="1"/>
  <c r="AJ8" i="41"/>
  <c r="AL7" i="41"/>
  <c r="AE7" i="41"/>
  <c r="AI7" i="41" s="1"/>
  <c r="AJ7" i="41" s="1"/>
  <c r="AL6" i="41"/>
  <c r="AE6" i="41"/>
  <c r="AI6" i="41" s="1"/>
  <c r="AJ6" i="41" s="1"/>
  <c r="AL5" i="41"/>
  <c r="AE5" i="41"/>
  <c r="AI5" i="41" s="1"/>
  <c r="AJ5" i="41"/>
  <c r="AL4" i="41"/>
  <c r="AE4" i="41"/>
  <c r="AI4" i="41" s="1"/>
  <c r="AJ4" i="41"/>
  <c r="AL3" i="41"/>
  <c r="AE3" i="41"/>
  <c r="AI3" i="41" s="1"/>
  <c r="AJ3" i="41" s="1"/>
  <c r="AG37" i="42"/>
  <c r="AG36" i="42"/>
  <c r="AE34" i="42"/>
  <c r="AI34" i="42"/>
  <c r="AJ34" i="42"/>
  <c r="AL33" i="42"/>
  <c r="AE33" i="42"/>
  <c r="AI33" i="42"/>
  <c r="AJ33" i="42"/>
  <c r="AL32" i="42"/>
  <c r="AE32" i="42"/>
  <c r="AI32" i="42"/>
  <c r="AJ32" i="42"/>
  <c r="AL31" i="42"/>
  <c r="AE31" i="42"/>
  <c r="AI31" i="42"/>
  <c r="AJ31" i="42"/>
  <c r="AL30" i="42"/>
  <c r="AE30" i="42"/>
  <c r="AI30" i="42"/>
  <c r="AJ30" i="42"/>
  <c r="AL29" i="42"/>
  <c r="AE29" i="42"/>
  <c r="AI29" i="42"/>
  <c r="AJ29" i="42"/>
  <c r="AL28" i="42"/>
  <c r="AE28" i="42"/>
  <c r="AI28" i="42"/>
  <c r="AJ28" i="42"/>
  <c r="AL27" i="42"/>
  <c r="AE27" i="42"/>
  <c r="AI27" i="42"/>
  <c r="AJ27" i="42"/>
  <c r="AL26" i="42"/>
  <c r="AE26" i="42"/>
  <c r="AI26" i="42"/>
  <c r="AJ26" i="42"/>
  <c r="AL25" i="42"/>
  <c r="AE25" i="42"/>
  <c r="AI25" i="42"/>
  <c r="AJ25" i="42"/>
  <c r="AL24" i="42"/>
  <c r="AE24" i="42"/>
  <c r="AI24" i="42"/>
  <c r="AJ24" i="42"/>
  <c r="AL23" i="42"/>
  <c r="AE23" i="42"/>
  <c r="AI23" i="42"/>
  <c r="AJ23" i="42"/>
  <c r="AL22" i="42"/>
  <c r="AE22" i="42"/>
  <c r="AI22" i="42"/>
  <c r="AJ22" i="42"/>
  <c r="AL21" i="42"/>
  <c r="AE21" i="42"/>
  <c r="AI21" i="42"/>
  <c r="AJ21" i="42"/>
  <c r="AL20" i="42"/>
  <c r="AE20" i="42"/>
  <c r="AI20" i="42"/>
  <c r="AJ20" i="42"/>
  <c r="AL19" i="42"/>
  <c r="AE19" i="42"/>
  <c r="AI19" i="42"/>
  <c r="AJ19" i="42"/>
  <c r="AL18" i="42"/>
  <c r="AE18" i="42"/>
  <c r="AI18" i="42"/>
  <c r="AJ18" i="42"/>
  <c r="AL17" i="42"/>
  <c r="AE17" i="42"/>
  <c r="AI17" i="42"/>
  <c r="AJ17" i="42"/>
  <c r="AL16" i="42"/>
  <c r="AE16" i="42"/>
  <c r="AI16" i="42"/>
  <c r="AJ16" i="42"/>
  <c r="AL15" i="42"/>
  <c r="AE15" i="42"/>
  <c r="AI15" i="42"/>
  <c r="AJ15" i="42"/>
  <c r="AL14" i="42"/>
  <c r="AE14" i="42"/>
  <c r="AI14" i="42"/>
  <c r="AJ14" i="42"/>
  <c r="AL13" i="42"/>
  <c r="AE13" i="42"/>
  <c r="AI13" i="42"/>
  <c r="AJ13" i="42"/>
  <c r="AL12" i="42"/>
  <c r="AE12" i="42"/>
  <c r="AI12" i="42"/>
  <c r="AJ12" i="42"/>
  <c r="AL11" i="42"/>
  <c r="AE11" i="42"/>
  <c r="AI11" i="42"/>
  <c r="AJ11" i="42"/>
  <c r="AL10" i="42"/>
  <c r="AE10" i="42"/>
  <c r="AI10" i="42"/>
  <c r="AJ10" i="42"/>
  <c r="AL9" i="42"/>
  <c r="AE9" i="42"/>
  <c r="AI9" i="42"/>
  <c r="AJ9" i="42"/>
  <c r="AL8" i="42"/>
  <c r="AE8" i="42"/>
  <c r="AI8" i="42"/>
  <c r="AJ8" i="42"/>
  <c r="AL7" i="42"/>
  <c r="AE7" i="42"/>
  <c r="AI7" i="42"/>
  <c r="AJ7" i="42"/>
  <c r="AL6" i="42"/>
  <c r="AE6" i="42"/>
  <c r="AI6" i="42"/>
  <c r="AJ6" i="42"/>
  <c r="AL5" i="42"/>
  <c r="AE5" i="42"/>
  <c r="AI5" i="42"/>
  <c r="AJ5" i="42"/>
  <c r="AL4" i="42"/>
  <c r="AE4" i="42"/>
  <c r="AI4" i="42"/>
  <c r="AJ4" i="42"/>
  <c r="AL3" i="42"/>
  <c r="AE3" i="42"/>
  <c r="AI3" i="42"/>
  <c r="AJ3" i="42"/>
  <c r="AG37" i="43"/>
  <c r="AG36" i="43"/>
  <c r="AE34" i="43"/>
  <c r="AI34" i="43"/>
  <c r="AJ34" i="43"/>
  <c r="AL33" i="43"/>
  <c r="AE33" i="43"/>
  <c r="AI33" i="43"/>
  <c r="AJ33" i="43"/>
  <c r="AL32" i="43"/>
  <c r="AE32" i="43"/>
  <c r="AI32" i="43"/>
  <c r="AJ32" i="43"/>
  <c r="AL31" i="43"/>
  <c r="AE31" i="43"/>
  <c r="AI31" i="43"/>
  <c r="AJ31" i="43"/>
  <c r="AL30" i="43"/>
  <c r="AE30" i="43"/>
  <c r="AI30" i="43"/>
  <c r="AJ30" i="43"/>
  <c r="AL29" i="43"/>
  <c r="AE29" i="43"/>
  <c r="AI29" i="43"/>
  <c r="AJ29" i="43"/>
  <c r="AL28" i="43"/>
  <c r="AE28" i="43"/>
  <c r="AI28" i="43"/>
  <c r="AJ28" i="43"/>
  <c r="AL27" i="43"/>
  <c r="AE27" i="43"/>
  <c r="AI27" i="43"/>
  <c r="AJ27" i="43"/>
  <c r="AL26" i="43"/>
  <c r="AE26" i="43"/>
  <c r="AI26" i="43"/>
  <c r="AJ26" i="43"/>
  <c r="AL25" i="43"/>
  <c r="AE25" i="43"/>
  <c r="AI25" i="43"/>
  <c r="AJ25" i="43"/>
  <c r="AL24" i="43"/>
  <c r="AE24" i="43"/>
  <c r="AI24" i="43"/>
  <c r="AJ24" i="43"/>
  <c r="AL23" i="43"/>
  <c r="AE23" i="43"/>
  <c r="AI23" i="43"/>
  <c r="AJ23" i="43"/>
  <c r="AL22" i="43"/>
  <c r="AE22" i="43"/>
  <c r="AI22" i="43"/>
  <c r="AJ22" i="43"/>
  <c r="AL21" i="43"/>
  <c r="AE21" i="43"/>
  <c r="AI21" i="43"/>
  <c r="AJ21" i="43"/>
  <c r="AL20" i="43"/>
  <c r="AE20" i="43"/>
  <c r="AI20" i="43"/>
  <c r="AJ20" i="43"/>
  <c r="AL19" i="43"/>
  <c r="AE19" i="43"/>
  <c r="AI19" i="43"/>
  <c r="AJ19" i="43"/>
  <c r="AL18" i="43"/>
  <c r="AE18" i="43"/>
  <c r="AI18" i="43"/>
  <c r="AJ18" i="43"/>
  <c r="AL17" i="43"/>
  <c r="AE17" i="43"/>
  <c r="AI17" i="43"/>
  <c r="AJ17" i="43"/>
  <c r="AL16" i="43"/>
  <c r="AE16" i="43"/>
  <c r="AI16" i="43"/>
  <c r="AJ16" i="43"/>
  <c r="AL15" i="43"/>
  <c r="AE15" i="43"/>
  <c r="AI15" i="43"/>
  <c r="AJ15" i="43"/>
  <c r="AL14" i="43"/>
  <c r="AE14" i="43"/>
  <c r="AI14" i="43"/>
  <c r="AJ14" i="43"/>
  <c r="AL13" i="43"/>
  <c r="AE13" i="43"/>
  <c r="AI13" i="43"/>
  <c r="AJ13" i="43"/>
  <c r="AL12" i="43"/>
  <c r="AE12" i="43"/>
  <c r="AI12" i="43"/>
  <c r="AJ12" i="43"/>
  <c r="AL11" i="43"/>
  <c r="AE11" i="43"/>
  <c r="AI11" i="43"/>
  <c r="AJ11" i="43"/>
  <c r="AL10" i="43"/>
  <c r="AE10" i="43"/>
  <c r="AI10" i="43"/>
  <c r="AJ10" i="43"/>
  <c r="AL9" i="43"/>
  <c r="AE9" i="43"/>
  <c r="AI9" i="43"/>
  <c r="AJ9" i="43"/>
  <c r="AL8" i="43"/>
  <c r="AE8" i="43"/>
  <c r="AI8" i="43"/>
  <c r="AJ8" i="43"/>
  <c r="AL7" i="43"/>
  <c r="AE7" i="43"/>
  <c r="AI7" i="43"/>
  <c r="AJ7" i="43"/>
  <c r="AL6" i="43"/>
  <c r="AE6" i="43"/>
  <c r="AI6" i="43"/>
  <c r="AJ6" i="43"/>
  <c r="AL5" i="43"/>
  <c r="AE5" i="43"/>
  <c r="AI5" i="43"/>
  <c r="AJ5" i="43"/>
  <c r="AL4" i="43"/>
  <c r="AE4" i="43"/>
  <c r="AI4" i="43"/>
  <c r="AJ4" i="43"/>
  <c r="AL3" i="43"/>
  <c r="AE3" i="43"/>
  <c r="AI3" i="43"/>
  <c r="AJ3" i="43"/>
  <c r="AG37" i="44"/>
  <c r="AG36" i="44"/>
  <c r="AE34" i="44"/>
  <c r="AI34" i="44"/>
  <c r="AJ34" i="44" s="1"/>
  <c r="AL33" i="44"/>
  <c r="AE33" i="44"/>
  <c r="AI33" i="44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 s="1"/>
  <c r="AJ30" i="44" s="1"/>
  <c r="AL29" i="44"/>
  <c r="AE29" i="44"/>
  <c r="AI29" i="44"/>
  <c r="AJ29" i="44" s="1"/>
  <c r="AL28" i="44"/>
  <c r="AE28" i="44"/>
  <c r="AI28" i="44" s="1"/>
  <c r="AJ28" i="44" s="1"/>
  <c r="AL27" i="44"/>
  <c r="AE27" i="44"/>
  <c r="AI27" i="44" s="1"/>
  <c r="AJ27" i="44" s="1"/>
  <c r="AL26" i="44"/>
  <c r="AE26" i="44"/>
  <c r="AI26" i="44" s="1"/>
  <c r="AL25" i="44"/>
  <c r="AE25" i="44"/>
  <c r="AI25" i="44"/>
  <c r="AJ25" i="44" s="1"/>
  <c r="AL24" i="44"/>
  <c r="AE24" i="44"/>
  <c r="AI24" i="44" s="1"/>
  <c r="AJ24" i="44" s="1"/>
  <c r="AL23" i="44"/>
  <c r="AE23" i="44"/>
  <c r="AI23" i="44" s="1"/>
  <c r="AJ23" i="44" s="1"/>
  <c r="AL22" i="44"/>
  <c r="AE22" i="44"/>
  <c r="AI22" i="44"/>
  <c r="AJ22" i="44" s="1"/>
  <c r="AL21" i="44"/>
  <c r="AE21" i="44"/>
  <c r="AI21" i="44"/>
  <c r="AJ21" i="44" s="1"/>
  <c r="AL20" i="44"/>
  <c r="AE20" i="44"/>
  <c r="AI20" i="44" s="1"/>
  <c r="AJ20" i="44" s="1"/>
  <c r="AL19" i="44"/>
  <c r="AE19" i="44"/>
  <c r="AI19" i="44"/>
  <c r="AJ19" i="44" s="1"/>
  <c r="AL18" i="44"/>
  <c r="AE18" i="44"/>
  <c r="AI18" i="44"/>
  <c r="AJ18" i="44" s="1"/>
  <c r="AL17" i="44"/>
  <c r="AE17" i="44"/>
  <c r="AI17" i="44" s="1"/>
  <c r="AJ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/>
  <c r="AJ14" i="44" s="1"/>
  <c r="AL13" i="44"/>
  <c r="AE13" i="44"/>
  <c r="AI13" i="44"/>
  <c r="AJ13" i="44" s="1"/>
  <c r="AL12" i="44"/>
  <c r="AE12" i="44"/>
  <c r="AI12" i="44" s="1"/>
  <c r="AJ12" i="44" s="1"/>
  <c r="AL11" i="44"/>
  <c r="AE11" i="44"/>
  <c r="AI11" i="44" s="1"/>
  <c r="AJ11" i="44" s="1"/>
  <c r="AL10" i="44"/>
  <c r="AE10" i="44"/>
  <c r="AI10" i="44"/>
  <c r="AJ10" i="44" s="1"/>
  <c r="AL9" i="44"/>
  <c r="AE9" i="44"/>
  <c r="AI9" i="44"/>
  <c r="AJ9" i="44" s="1"/>
  <c r="AL8" i="44"/>
  <c r="AE8" i="44"/>
  <c r="AI8" i="44" s="1"/>
  <c r="AJ8" i="44" s="1"/>
  <c r="AL7" i="44"/>
  <c r="AE7" i="44"/>
  <c r="AI7" i="44"/>
  <c r="AJ7" i="44" s="1"/>
  <c r="AL6" i="44"/>
  <c r="AE6" i="44"/>
  <c r="AI6" i="44"/>
  <c r="AJ6" i="44" s="1"/>
  <c r="AL5" i="44"/>
  <c r="AE5" i="44"/>
  <c r="AI5" i="44" s="1"/>
  <c r="AJ5" i="44" s="1"/>
  <c r="AL4" i="44"/>
  <c r="AE4" i="44"/>
  <c r="AI4" i="44" s="1"/>
  <c r="AJ4" i="44" s="1"/>
  <c r="AL3" i="44"/>
  <c r="AE3" i="44"/>
  <c r="AI3" i="44"/>
  <c r="AJ3" i="44" s="1"/>
  <c r="AG37" i="45"/>
  <c r="AG36" i="45"/>
  <c r="AE34" i="45"/>
  <c r="AI34" i="45" s="1"/>
  <c r="AJ34" i="45"/>
  <c r="AL33" i="45"/>
  <c r="AE33" i="45"/>
  <c r="AI33" i="45" s="1"/>
  <c r="AJ33" i="45" s="1"/>
  <c r="AL32" i="45"/>
  <c r="AE32" i="45"/>
  <c r="AI32" i="45" s="1"/>
  <c r="AJ32" i="45"/>
  <c r="AL31" i="45"/>
  <c r="AE31" i="45"/>
  <c r="AI31" i="45" s="1"/>
  <c r="AJ31" i="45" s="1"/>
  <c r="AL30" i="45"/>
  <c r="AE30" i="45"/>
  <c r="AI30" i="45" s="1"/>
  <c r="AJ30" i="45" s="1"/>
  <c r="AL29" i="45"/>
  <c r="AE29" i="45"/>
  <c r="AI29" i="45" s="1"/>
  <c r="AJ29" i="45"/>
  <c r="AL28" i="45"/>
  <c r="AE28" i="45"/>
  <c r="AI28" i="45" s="1"/>
  <c r="AJ28" i="45"/>
  <c r="AL27" i="45"/>
  <c r="AE27" i="45"/>
  <c r="AI27" i="45" s="1"/>
  <c r="AJ27" i="45" s="1"/>
  <c r="AL26" i="45"/>
  <c r="AE26" i="45"/>
  <c r="AI26" i="45" s="1"/>
  <c r="AJ26" i="45"/>
  <c r="AL25" i="45"/>
  <c r="AE25" i="45"/>
  <c r="AI25" i="45" s="1"/>
  <c r="AJ25" i="45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/>
  <c r="AL21" i="45"/>
  <c r="AE21" i="45"/>
  <c r="AI21" i="45" s="1"/>
  <c r="AJ21" i="45" s="1"/>
  <c r="AL20" i="45"/>
  <c r="AE20" i="45"/>
  <c r="AI20" i="45" s="1"/>
  <c r="AJ20" i="45" s="1"/>
  <c r="AJ36" i="45" s="1"/>
  <c r="AL19" i="45"/>
  <c r="AE19" i="45"/>
  <c r="AI19" i="45" s="1"/>
  <c r="AJ19" i="45" s="1"/>
  <c r="AL18" i="45"/>
  <c r="AE18" i="45"/>
  <c r="AI18" i="45" s="1"/>
  <c r="AJ18" i="45" s="1"/>
  <c r="AL17" i="45"/>
  <c r="AE17" i="45"/>
  <c r="AI17" i="45" s="1"/>
  <c r="AJ17" i="45"/>
  <c r="AL16" i="45"/>
  <c r="AE16" i="45"/>
  <c r="AI16" i="45" s="1"/>
  <c r="AJ16" i="45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/>
  <c r="AL12" i="45"/>
  <c r="AE12" i="45"/>
  <c r="AI12" i="45" s="1"/>
  <c r="AJ12" i="45" s="1"/>
  <c r="AL11" i="45"/>
  <c r="AE11" i="45"/>
  <c r="AI11" i="45" s="1"/>
  <c r="AJ11" i="45" s="1"/>
  <c r="AL10" i="45"/>
  <c r="AE10" i="45"/>
  <c r="AI10" i="45" s="1"/>
  <c r="AJ10" i="45"/>
  <c r="AL9" i="45"/>
  <c r="AE9" i="45"/>
  <c r="AI9" i="45" s="1"/>
  <c r="AJ9" i="45" s="1"/>
  <c r="AL8" i="45"/>
  <c r="AE8" i="45"/>
  <c r="AI8" i="45" s="1"/>
  <c r="AJ8" i="45" s="1"/>
  <c r="AL7" i="45"/>
  <c r="AE7" i="45"/>
  <c r="AI7" i="45" s="1"/>
  <c r="AJ7" i="45" s="1"/>
  <c r="AL6" i="45"/>
  <c r="AE6" i="45"/>
  <c r="AI6" i="45" s="1"/>
  <c r="AJ6" i="45" s="1"/>
  <c r="AL5" i="45"/>
  <c r="AE5" i="45"/>
  <c r="AI5" i="45" s="1"/>
  <c r="AJ5" i="45" s="1"/>
  <c r="AL4" i="45"/>
  <c r="AE4" i="45"/>
  <c r="AI4" i="45" s="1"/>
  <c r="AJ4" i="45"/>
  <c r="AL3" i="45"/>
  <c r="AE3" i="45"/>
  <c r="AI3" i="45" s="1"/>
  <c r="AJ3" i="45" s="1"/>
  <c r="AG37" i="46"/>
  <c r="AG36" i="46"/>
  <c r="AE34" i="46"/>
  <c r="AI34" i="46" s="1"/>
  <c r="AJ34" i="46" s="1"/>
  <c r="AL33" i="46"/>
  <c r="AE33" i="46"/>
  <c r="AI33" i="46" s="1"/>
  <c r="AJ33" i="46" s="1"/>
  <c r="AL32" i="46"/>
  <c r="AE32" i="46"/>
  <c r="AI32" i="46" s="1"/>
  <c r="AJ32" i="46" s="1"/>
  <c r="AL31" i="46"/>
  <c r="AE31" i="46"/>
  <c r="AI31" i="46" s="1"/>
  <c r="AJ31" i="46" s="1"/>
  <c r="AL30" i="46"/>
  <c r="AE30" i="46"/>
  <c r="AI30" i="46" s="1"/>
  <c r="AJ30" i="46" s="1"/>
  <c r="AL29" i="46"/>
  <c r="AE29" i="46"/>
  <c r="AI29" i="46" s="1"/>
  <c r="AJ29" i="46" s="1"/>
  <c r="AL28" i="46"/>
  <c r="AE28" i="46"/>
  <c r="AI28" i="46" s="1"/>
  <c r="AJ28" i="46" s="1"/>
  <c r="AL27" i="46"/>
  <c r="AE27" i="46"/>
  <c r="AI27" i="46" s="1"/>
  <c r="AJ27" i="46" s="1"/>
  <c r="AL26" i="46"/>
  <c r="AE26" i="46"/>
  <c r="AI26" i="46" s="1"/>
  <c r="AJ26" i="46" s="1"/>
  <c r="AL25" i="46"/>
  <c r="AE25" i="46"/>
  <c r="AI25" i="46" s="1"/>
  <c r="AJ25" i="46" s="1"/>
  <c r="AL24" i="46"/>
  <c r="AE24" i="46"/>
  <c r="AI24" i="46" s="1"/>
  <c r="AJ24" i="46" s="1"/>
  <c r="AL23" i="46"/>
  <c r="AE23" i="46"/>
  <c r="AI23" i="46" s="1"/>
  <c r="AJ23" i="46" s="1"/>
  <c r="AL22" i="46"/>
  <c r="AE22" i="46"/>
  <c r="AI22" i="46" s="1"/>
  <c r="AJ22" i="46" s="1"/>
  <c r="AL21" i="46"/>
  <c r="AE21" i="46"/>
  <c r="AI21" i="46" s="1"/>
  <c r="AJ21" i="46" s="1"/>
  <c r="AL20" i="46"/>
  <c r="AE20" i="46"/>
  <c r="AI20" i="46" s="1"/>
  <c r="AJ20" i="46" s="1"/>
  <c r="AL19" i="46"/>
  <c r="AE19" i="46"/>
  <c r="AI19" i="46" s="1"/>
  <c r="AJ19" i="46" s="1"/>
  <c r="AL18" i="46"/>
  <c r="AE18" i="46"/>
  <c r="AI18" i="46" s="1"/>
  <c r="AJ18" i="46" s="1"/>
  <c r="AL17" i="46"/>
  <c r="AE17" i="46"/>
  <c r="AI17" i="46" s="1"/>
  <c r="AM17" i="46" s="1"/>
  <c r="AN17" i="46" s="1"/>
  <c r="AO17" i="46" s="1"/>
  <c r="AL16" i="46"/>
  <c r="AE16" i="46"/>
  <c r="AI16" i="46" s="1"/>
  <c r="AJ16" i="46" s="1"/>
  <c r="AL15" i="46"/>
  <c r="AE15" i="46"/>
  <c r="AI15" i="46" s="1"/>
  <c r="AL14" i="46"/>
  <c r="AE14" i="46"/>
  <c r="AI14" i="46" s="1"/>
  <c r="AJ14" i="46" s="1"/>
  <c r="AL13" i="46"/>
  <c r="AE13" i="46"/>
  <c r="AI13" i="46" s="1"/>
  <c r="AL12" i="46"/>
  <c r="AE12" i="46"/>
  <c r="AI12" i="46" s="1"/>
  <c r="AJ12" i="46" s="1"/>
  <c r="AL11" i="46"/>
  <c r="AE11" i="46"/>
  <c r="AI11" i="46" s="1"/>
  <c r="AL10" i="46"/>
  <c r="AE10" i="46"/>
  <c r="AI10" i="46" s="1"/>
  <c r="AJ10" i="46" s="1"/>
  <c r="AL9" i="46"/>
  <c r="AE9" i="46"/>
  <c r="AI9" i="46" s="1"/>
  <c r="AL8" i="46"/>
  <c r="AE8" i="46"/>
  <c r="AI8" i="46" s="1"/>
  <c r="AJ8" i="46" s="1"/>
  <c r="AL7" i="46"/>
  <c r="AE7" i="46"/>
  <c r="AI7" i="46" s="1"/>
  <c r="AJ7" i="46" s="1"/>
  <c r="AL6" i="46"/>
  <c r="AE6" i="46"/>
  <c r="AI6" i="46" s="1"/>
  <c r="AJ6" i="46" s="1"/>
  <c r="AL5" i="46"/>
  <c r="AE5" i="46"/>
  <c r="AI5" i="46" s="1"/>
  <c r="AL4" i="46"/>
  <c r="AE4" i="46"/>
  <c r="AI4" i="46" s="1"/>
  <c r="AJ4" i="46" s="1"/>
  <c r="AL3" i="46"/>
  <c r="AE3" i="46"/>
  <c r="AI3" i="46" s="1"/>
  <c r="AG37" i="47"/>
  <c r="AG36" i="47"/>
  <c r="AE34" i="47"/>
  <c r="AI34" i="47"/>
  <c r="AJ34" i="47"/>
  <c r="AL33" i="47"/>
  <c r="AE33" i="47"/>
  <c r="AI33" i="47"/>
  <c r="AJ33" i="47"/>
  <c r="AL32" i="47"/>
  <c r="AE32" i="47"/>
  <c r="AI32" i="47"/>
  <c r="AJ32" i="47"/>
  <c r="AL31" i="47"/>
  <c r="AE31" i="47"/>
  <c r="AI31" i="47"/>
  <c r="AJ31" i="47"/>
  <c r="AL30" i="47"/>
  <c r="AE30" i="47"/>
  <c r="AI30" i="47"/>
  <c r="AJ30" i="47"/>
  <c r="AL29" i="47"/>
  <c r="AE29" i="47"/>
  <c r="AI29" i="47"/>
  <c r="AJ29" i="47"/>
  <c r="AL28" i="47"/>
  <c r="AE28" i="47"/>
  <c r="AI28" i="47"/>
  <c r="AJ28" i="47"/>
  <c r="AL27" i="47"/>
  <c r="AE27" i="47"/>
  <c r="AI27" i="47"/>
  <c r="AJ27" i="47"/>
  <c r="AL26" i="47"/>
  <c r="AE26" i="47"/>
  <c r="AI26" i="47"/>
  <c r="AJ26" i="47"/>
  <c r="AL25" i="47"/>
  <c r="AE25" i="47"/>
  <c r="AI25" i="47"/>
  <c r="AJ25" i="47"/>
  <c r="AL24" i="47"/>
  <c r="AE24" i="47"/>
  <c r="AI24" i="47"/>
  <c r="AJ24" i="47"/>
  <c r="AL23" i="47"/>
  <c r="AE23" i="47"/>
  <c r="AI23" i="47"/>
  <c r="AJ23" i="47"/>
  <c r="AL22" i="47"/>
  <c r="AE22" i="47"/>
  <c r="AI22" i="47"/>
  <c r="AJ22" i="47"/>
  <c r="AL21" i="47"/>
  <c r="AE21" i="47"/>
  <c r="AI21" i="47"/>
  <c r="AJ21" i="47"/>
  <c r="AL20" i="47"/>
  <c r="AE20" i="47"/>
  <c r="AI20" i="47"/>
  <c r="AJ20" i="47"/>
  <c r="AL19" i="47"/>
  <c r="AE19" i="47"/>
  <c r="AI19" i="47"/>
  <c r="AJ19" i="47"/>
  <c r="AL18" i="47"/>
  <c r="AE18" i="47"/>
  <c r="AI18" i="47"/>
  <c r="AJ18" i="47"/>
  <c r="AL17" i="47"/>
  <c r="AE17" i="47"/>
  <c r="AI17" i="47"/>
  <c r="AJ17" i="47"/>
  <c r="AL16" i="47"/>
  <c r="AE16" i="47"/>
  <c r="AI16" i="47"/>
  <c r="AJ16" i="47"/>
  <c r="AL15" i="47"/>
  <c r="AE15" i="47"/>
  <c r="AI15" i="47"/>
  <c r="AJ15" i="47"/>
  <c r="AL14" i="47"/>
  <c r="AE14" i="47"/>
  <c r="AI14" i="47"/>
  <c r="AJ14" i="47"/>
  <c r="AL13" i="47"/>
  <c r="AE13" i="47"/>
  <c r="AI13" i="47"/>
  <c r="AJ13" i="47"/>
  <c r="AL12" i="47"/>
  <c r="AE12" i="47"/>
  <c r="AI12" i="47"/>
  <c r="AJ12" i="47"/>
  <c r="AL11" i="47"/>
  <c r="AE11" i="47"/>
  <c r="AI11" i="47"/>
  <c r="AJ11" i="47"/>
  <c r="AL10" i="47"/>
  <c r="AE10" i="47"/>
  <c r="AI10" i="47"/>
  <c r="AJ10" i="47"/>
  <c r="AL9" i="47"/>
  <c r="AE9" i="47"/>
  <c r="AI9" i="47"/>
  <c r="AJ9" i="47"/>
  <c r="AL8" i="47"/>
  <c r="AE8" i="47"/>
  <c r="AI8" i="47"/>
  <c r="AJ8" i="47"/>
  <c r="AL7" i="47"/>
  <c r="AE7" i="47"/>
  <c r="AI7" i="47"/>
  <c r="AJ7" i="47"/>
  <c r="AL6" i="47"/>
  <c r="AE6" i="47"/>
  <c r="AI6" i="47"/>
  <c r="AJ6" i="47"/>
  <c r="AL5" i="47"/>
  <c r="AE5" i="47"/>
  <c r="AI5" i="47"/>
  <c r="AJ5" i="47"/>
  <c r="AL4" i="47"/>
  <c r="AE4" i="47"/>
  <c r="AI4" i="47"/>
  <c r="AJ4" i="47"/>
  <c r="AL3" i="47"/>
  <c r="AE3" i="47"/>
  <c r="AI3" i="47"/>
  <c r="AJ3" i="47"/>
  <c r="AG37" i="48"/>
  <c r="AG36" i="48"/>
  <c r="AE34" i="48"/>
  <c r="AI34" i="48"/>
  <c r="AJ34" i="48" s="1"/>
  <c r="AL33" i="48"/>
  <c r="AE33" i="48"/>
  <c r="AI33" i="48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 s="1"/>
  <c r="AL29" i="48"/>
  <c r="AE29" i="48"/>
  <c r="AI29" i="48" s="1"/>
  <c r="AL28" i="48"/>
  <c r="AE28" i="48"/>
  <c r="AI28" i="48" s="1"/>
  <c r="AJ28" i="48" s="1"/>
  <c r="AL27" i="48"/>
  <c r="AE27" i="48"/>
  <c r="AI27" i="48" s="1"/>
  <c r="AL26" i="48"/>
  <c r="AE26" i="48"/>
  <c r="AI26" i="48"/>
  <c r="AJ26" i="48" s="1"/>
  <c r="AL25" i="48"/>
  <c r="AE25" i="48"/>
  <c r="AI25" i="48"/>
  <c r="AJ25" i="48" s="1"/>
  <c r="AL24" i="48"/>
  <c r="AE24" i="48"/>
  <c r="AI24" i="48" s="1"/>
  <c r="AJ24" i="48" s="1"/>
  <c r="AL23" i="48"/>
  <c r="AE23" i="48"/>
  <c r="AI23" i="48"/>
  <c r="AJ23" i="48" s="1"/>
  <c r="AL22" i="48"/>
  <c r="AE22" i="48"/>
  <c r="AI22" i="48"/>
  <c r="AJ22" i="48" s="1"/>
  <c r="AL21" i="48"/>
  <c r="AE21" i="48"/>
  <c r="AI21" i="48"/>
  <c r="AJ21" i="48" s="1"/>
  <c r="AL20" i="48"/>
  <c r="AE20" i="48"/>
  <c r="AI20" i="48" s="1"/>
  <c r="AJ20" i="48" s="1"/>
  <c r="AL19" i="48"/>
  <c r="AE19" i="48"/>
  <c r="AI19" i="48"/>
  <c r="AJ19" i="48" s="1"/>
  <c r="AL18" i="48"/>
  <c r="AE18" i="48"/>
  <c r="AI18" i="48"/>
  <c r="AJ18" i="48" s="1"/>
  <c r="AL17" i="48"/>
  <c r="AE17" i="48"/>
  <c r="AI17" i="48" s="1"/>
  <c r="AJ17" i="48" s="1"/>
  <c r="AL16" i="48"/>
  <c r="AE16" i="48"/>
  <c r="AI16" i="48" s="1"/>
  <c r="AJ16" i="48" s="1"/>
  <c r="AL15" i="48"/>
  <c r="AE15" i="48"/>
  <c r="AI15" i="48" s="1"/>
  <c r="AJ15" i="48" s="1"/>
  <c r="AL14" i="48"/>
  <c r="AE14" i="48"/>
  <c r="AI14" i="48" s="1"/>
  <c r="AL13" i="48"/>
  <c r="AE13" i="48"/>
  <c r="AI13" i="48"/>
  <c r="AJ13" i="48" s="1"/>
  <c r="AL12" i="48"/>
  <c r="AE12" i="48"/>
  <c r="AI12" i="48" s="1"/>
  <c r="AJ12" i="48" s="1"/>
  <c r="AL11" i="48"/>
  <c r="AE11" i="48"/>
  <c r="AI11" i="48" s="1"/>
  <c r="AL10" i="48"/>
  <c r="AE10" i="48"/>
  <c r="AI10" i="48"/>
  <c r="AJ10" i="48" s="1"/>
  <c r="AL9" i="48"/>
  <c r="AE9" i="48"/>
  <c r="AI9" i="48"/>
  <c r="AJ9" i="48" s="1"/>
  <c r="AL8" i="48"/>
  <c r="AE8" i="48"/>
  <c r="AI8" i="48" s="1"/>
  <c r="AJ8" i="48" s="1"/>
  <c r="AL7" i="48"/>
  <c r="AE7" i="48"/>
  <c r="AI7" i="48"/>
  <c r="AJ7" i="48" s="1"/>
  <c r="AL6" i="48"/>
  <c r="AE6" i="48"/>
  <c r="AI6" i="48"/>
  <c r="AJ6" i="48" s="1"/>
  <c r="AL5" i="48"/>
  <c r="AE5" i="48"/>
  <c r="AI5" i="48" s="1"/>
  <c r="AJ5" i="48" s="1"/>
  <c r="AL4" i="48"/>
  <c r="AE4" i="48"/>
  <c r="AI4" i="48" s="1"/>
  <c r="AJ4" i="48" s="1"/>
  <c r="AL3" i="48"/>
  <c r="AE3" i="48"/>
  <c r="AI3" i="48"/>
  <c r="AJ3" i="48" s="1"/>
  <c r="AG37" i="49"/>
  <c r="AG36" i="49"/>
  <c r="AE34" i="49"/>
  <c r="AI34" i="49" s="1"/>
  <c r="AJ34" i="49" s="1"/>
  <c r="AL33" i="49"/>
  <c r="AE33" i="49"/>
  <c r="AI33" i="49" s="1"/>
  <c r="AJ33" i="49" s="1"/>
  <c r="AL32" i="49"/>
  <c r="AE32" i="49"/>
  <c r="AI32" i="49" s="1"/>
  <c r="AJ32" i="49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/>
  <c r="AL28" i="49"/>
  <c r="AE28" i="49"/>
  <c r="AI28" i="49" s="1"/>
  <c r="AJ28" i="49"/>
  <c r="AL27" i="49"/>
  <c r="AE27" i="49"/>
  <c r="AI27" i="49" s="1"/>
  <c r="AJ27" i="49" s="1"/>
  <c r="AL26" i="49"/>
  <c r="AE26" i="49"/>
  <c r="AI26" i="49" s="1"/>
  <c r="AJ26" i="49"/>
  <c r="AL25" i="49"/>
  <c r="AE25" i="49"/>
  <c r="AI25" i="49" s="1"/>
  <c r="AJ25" i="49"/>
  <c r="AL24" i="49"/>
  <c r="AE24" i="49"/>
  <c r="AI24" i="49" s="1"/>
  <c r="AJ24" i="49" s="1"/>
  <c r="AL23" i="49"/>
  <c r="AE23" i="49"/>
  <c r="AI23" i="49" s="1"/>
  <c r="AJ23" i="49" s="1"/>
  <c r="AL22" i="49"/>
  <c r="AE22" i="49"/>
  <c r="AI22" i="49" s="1"/>
  <c r="AJ22" i="49"/>
  <c r="AL21" i="49"/>
  <c r="AE21" i="49"/>
  <c r="AI21" i="49" s="1"/>
  <c r="AJ21" i="49" s="1"/>
  <c r="AL20" i="49"/>
  <c r="AE20" i="49"/>
  <c r="AI20" i="49" s="1"/>
  <c r="AJ20" i="49"/>
  <c r="AL19" i="49"/>
  <c r="AE19" i="49"/>
  <c r="AI19" i="49" s="1"/>
  <c r="AJ19" i="49" s="1"/>
  <c r="AL18" i="49"/>
  <c r="AE18" i="49"/>
  <c r="AI18" i="49" s="1"/>
  <c r="AJ18" i="49" s="1"/>
  <c r="AL17" i="49"/>
  <c r="AE17" i="49"/>
  <c r="AI17" i="49" s="1"/>
  <c r="AJ17" i="49" s="1"/>
  <c r="AL16" i="49"/>
  <c r="AE16" i="49"/>
  <c r="AI16" i="49" s="1"/>
  <c r="AJ16" i="49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 s="1"/>
  <c r="AL12" i="49"/>
  <c r="AE12" i="49"/>
  <c r="AI12" i="49" s="1"/>
  <c r="AJ12" i="49" s="1"/>
  <c r="AL11" i="49"/>
  <c r="AE11" i="49"/>
  <c r="AI11" i="49" s="1"/>
  <c r="AJ11" i="49" s="1"/>
  <c r="AL10" i="49"/>
  <c r="AE10" i="49"/>
  <c r="AI10" i="49" s="1"/>
  <c r="AJ10" i="49" s="1"/>
  <c r="AL9" i="49"/>
  <c r="AE9" i="49"/>
  <c r="AI9" i="49" s="1"/>
  <c r="AJ9" i="49" s="1"/>
  <c r="AL8" i="49"/>
  <c r="AE8" i="49"/>
  <c r="AI8" i="49" s="1"/>
  <c r="AJ8" i="49" s="1"/>
  <c r="AL7" i="49"/>
  <c r="AE7" i="49"/>
  <c r="AI7" i="49" s="1"/>
  <c r="AJ7" i="49" s="1"/>
  <c r="AL6" i="49"/>
  <c r="AE6" i="49"/>
  <c r="AI6" i="49" s="1"/>
  <c r="AJ6" i="49" s="1"/>
  <c r="AL5" i="49"/>
  <c r="AE5" i="49"/>
  <c r="AI5" i="49" s="1"/>
  <c r="AJ5" i="49"/>
  <c r="AL4" i="49"/>
  <c r="AE4" i="49"/>
  <c r="AI4" i="49" s="1"/>
  <c r="AJ4" i="49"/>
  <c r="AL3" i="49"/>
  <c r="AE3" i="49"/>
  <c r="AI3" i="49" s="1"/>
  <c r="AJ3" i="49" s="1"/>
  <c r="AG37" i="50"/>
  <c r="AG36" i="50"/>
  <c r="AE34" i="50"/>
  <c r="AI34" i="50" s="1"/>
  <c r="AJ34" i="50" s="1"/>
  <c r="AL33" i="50"/>
  <c r="AE33" i="50"/>
  <c r="AI33" i="50" s="1"/>
  <c r="AJ33" i="50" s="1"/>
  <c r="AL32" i="50"/>
  <c r="AE32" i="50"/>
  <c r="AI32" i="50" s="1"/>
  <c r="AJ32" i="50" s="1"/>
  <c r="AL31" i="50"/>
  <c r="AE31" i="50"/>
  <c r="AI31" i="50" s="1"/>
  <c r="AJ31" i="50" s="1"/>
  <c r="AL30" i="50"/>
  <c r="AE30" i="50"/>
  <c r="AI30" i="50" s="1"/>
  <c r="AJ30" i="50" s="1"/>
  <c r="AL29" i="50"/>
  <c r="AE29" i="50"/>
  <c r="AI29" i="50" s="1"/>
  <c r="AJ29" i="50" s="1"/>
  <c r="AL28" i="50"/>
  <c r="AE28" i="50"/>
  <c r="AI28" i="50" s="1"/>
  <c r="AJ28" i="50" s="1"/>
  <c r="AL27" i="50"/>
  <c r="AE27" i="50"/>
  <c r="AI27" i="50" s="1"/>
  <c r="AJ27" i="50" s="1"/>
  <c r="AL26" i="50"/>
  <c r="AE26" i="50"/>
  <c r="AI26" i="50" s="1"/>
  <c r="AJ26" i="50" s="1"/>
  <c r="AL25" i="50"/>
  <c r="AE25" i="50"/>
  <c r="AI25" i="50" s="1"/>
  <c r="AJ25" i="50" s="1"/>
  <c r="AL24" i="50"/>
  <c r="AE24" i="50"/>
  <c r="AI24" i="50" s="1"/>
  <c r="AJ24" i="50"/>
  <c r="AL23" i="50"/>
  <c r="AE23" i="50"/>
  <c r="AI23" i="50" s="1"/>
  <c r="AJ23" i="50" s="1"/>
  <c r="AL22" i="50"/>
  <c r="AE22" i="50"/>
  <c r="AI22" i="50" s="1"/>
  <c r="AJ22" i="50" s="1"/>
  <c r="AL21" i="50"/>
  <c r="AE21" i="50"/>
  <c r="AI21" i="50" s="1"/>
  <c r="AJ21" i="50"/>
  <c r="AL20" i="50"/>
  <c r="AE20" i="50"/>
  <c r="AI20" i="50" s="1"/>
  <c r="AJ20" i="50"/>
  <c r="AL19" i="50"/>
  <c r="AE19" i="50"/>
  <c r="AI19" i="50" s="1"/>
  <c r="AJ19" i="50" s="1"/>
  <c r="AL18" i="50"/>
  <c r="AE18" i="50"/>
  <c r="AI18" i="50"/>
  <c r="AJ18" i="50" s="1"/>
  <c r="AL17" i="50"/>
  <c r="AE17" i="50"/>
  <c r="AI17" i="50"/>
  <c r="AJ17" i="50" s="1"/>
  <c r="AL16" i="50"/>
  <c r="AE16" i="50"/>
  <c r="AI16" i="50" s="1"/>
  <c r="AJ16" i="50" s="1"/>
  <c r="AL15" i="50"/>
  <c r="AE15" i="50"/>
  <c r="AI15" i="50" s="1"/>
  <c r="AJ15" i="50" s="1"/>
  <c r="AL14" i="50"/>
  <c r="AE14" i="50"/>
  <c r="AI14" i="50"/>
  <c r="AJ14" i="50" s="1"/>
  <c r="AL13" i="50"/>
  <c r="AE13" i="50"/>
  <c r="AI13" i="50"/>
  <c r="AJ13" i="50" s="1"/>
  <c r="AL12" i="50"/>
  <c r="AE12" i="50"/>
  <c r="AI12" i="50" s="1"/>
  <c r="AJ12" i="50" s="1"/>
  <c r="AL11" i="50"/>
  <c r="AE11" i="50"/>
  <c r="AI11" i="50" s="1"/>
  <c r="AJ11" i="50" s="1"/>
  <c r="AL10" i="50"/>
  <c r="AE10" i="50"/>
  <c r="AI10" i="50"/>
  <c r="AJ10" i="50" s="1"/>
  <c r="AL9" i="50"/>
  <c r="AE9" i="50"/>
  <c r="AI9" i="50"/>
  <c r="AJ9" i="50" s="1"/>
  <c r="AL8" i="50"/>
  <c r="AE8" i="50"/>
  <c r="AI8" i="50" s="1"/>
  <c r="AJ8" i="50" s="1"/>
  <c r="AL7" i="50"/>
  <c r="AE7" i="50"/>
  <c r="AI7" i="50" s="1"/>
  <c r="AJ7" i="50" s="1"/>
  <c r="AL6" i="50"/>
  <c r="AE6" i="50"/>
  <c r="AI6" i="50" s="1"/>
  <c r="AL5" i="50"/>
  <c r="AE5" i="50"/>
  <c r="AI5" i="50"/>
  <c r="AJ5" i="50" s="1"/>
  <c r="AL4" i="50"/>
  <c r="AE4" i="50"/>
  <c r="AI4" i="50" s="1"/>
  <c r="AJ4" i="50" s="1"/>
  <c r="AL3" i="50"/>
  <c r="AE3" i="50"/>
  <c r="AI3" i="50" s="1"/>
  <c r="AJ3" i="50" s="1"/>
  <c r="AG37" i="51"/>
  <c r="AG36" i="51"/>
  <c r="AE34" i="51"/>
  <c r="AI34" i="51" s="1"/>
  <c r="AJ34" i="51" s="1"/>
  <c r="AL33" i="51"/>
  <c r="AE33" i="51"/>
  <c r="AI33" i="51" s="1"/>
  <c r="AJ33" i="51"/>
  <c r="AL32" i="51"/>
  <c r="AE32" i="51"/>
  <c r="AI32" i="51" s="1"/>
  <c r="AJ32" i="51"/>
  <c r="AL31" i="51"/>
  <c r="AE31" i="51"/>
  <c r="AI31" i="51" s="1"/>
  <c r="AJ31" i="51" s="1"/>
  <c r="AL30" i="51"/>
  <c r="AE30" i="51"/>
  <c r="AI30" i="51" s="1"/>
  <c r="AJ30" i="51" s="1"/>
  <c r="AL29" i="51"/>
  <c r="AE29" i="51"/>
  <c r="AI29" i="51" s="1"/>
  <c r="AJ29" i="51" s="1"/>
  <c r="AL28" i="51"/>
  <c r="AE28" i="51"/>
  <c r="AI28" i="51" s="1"/>
  <c r="AJ28" i="51"/>
  <c r="AL27" i="51"/>
  <c r="AE27" i="51"/>
  <c r="AI27" i="51" s="1"/>
  <c r="AJ27" i="51" s="1"/>
  <c r="AL26" i="51"/>
  <c r="AE26" i="51"/>
  <c r="AI26" i="51" s="1"/>
  <c r="AJ26" i="51" s="1"/>
  <c r="AL25" i="51"/>
  <c r="AE25" i="51"/>
  <c r="AI25" i="51" s="1"/>
  <c r="AJ25" i="51"/>
  <c r="AL24" i="51"/>
  <c r="AE24" i="51"/>
  <c r="AI24" i="51" s="1"/>
  <c r="AJ24" i="51"/>
  <c r="AL23" i="51"/>
  <c r="AE23" i="51"/>
  <c r="AI23" i="51" s="1"/>
  <c r="AJ23" i="51" s="1"/>
  <c r="AL22" i="51"/>
  <c r="AE22" i="51"/>
  <c r="AI22" i="51" s="1"/>
  <c r="AJ22" i="51" s="1"/>
  <c r="AL21" i="51"/>
  <c r="AE21" i="51"/>
  <c r="AI21" i="51" s="1"/>
  <c r="AJ21" i="51" s="1"/>
  <c r="AL20" i="51"/>
  <c r="AE20" i="51"/>
  <c r="AI20" i="51" s="1"/>
  <c r="AJ20" i="51"/>
  <c r="AL19" i="51"/>
  <c r="AE19" i="51"/>
  <c r="AI19" i="51" s="1"/>
  <c r="AJ19" i="51" s="1"/>
  <c r="AL18" i="51"/>
  <c r="AE18" i="51"/>
  <c r="AI18" i="51" s="1"/>
  <c r="AL17" i="51"/>
  <c r="AE17" i="51"/>
  <c r="AI17" i="51" s="1"/>
  <c r="AJ17" i="51"/>
  <c r="AL16" i="51"/>
  <c r="AE16" i="51"/>
  <c r="AI16" i="51" s="1"/>
  <c r="AJ16" i="51"/>
  <c r="AL15" i="51"/>
  <c r="AE15" i="51"/>
  <c r="AI15" i="51" s="1"/>
  <c r="AJ15" i="51" s="1"/>
  <c r="AL14" i="51"/>
  <c r="AE14" i="51"/>
  <c r="AI14" i="51" s="1"/>
  <c r="AJ14" i="51" s="1"/>
  <c r="AL13" i="51"/>
  <c r="AE13" i="51"/>
  <c r="AI13" i="51" s="1"/>
  <c r="AL12" i="51"/>
  <c r="AE12" i="51"/>
  <c r="AI12" i="51" s="1"/>
  <c r="AJ12" i="51"/>
  <c r="AL11" i="51"/>
  <c r="AE11" i="51"/>
  <c r="AI11" i="51" s="1"/>
  <c r="AJ11" i="51" s="1"/>
  <c r="AL10" i="51"/>
  <c r="AE10" i="51"/>
  <c r="AI10" i="51" s="1"/>
  <c r="AJ10" i="51" s="1"/>
  <c r="AL9" i="51"/>
  <c r="AE9" i="51"/>
  <c r="AI9" i="51" s="1"/>
  <c r="AJ9" i="51"/>
  <c r="AL8" i="51"/>
  <c r="AE8" i="51"/>
  <c r="AI8" i="51" s="1"/>
  <c r="AJ8" i="51"/>
  <c r="AL7" i="51"/>
  <c r="AE7" i="51"/>
  <c r="AI7" i="51" s="1"/>
  <c r="AJ7" i="51" s="1"/>
  <c r="AL6" i="51"/>
  <c r="AE6" i="51"/>
  <c r="AI6" i="51" s="1"/>
  <c r="AJ6" i="51" s="1"/>
  <c r="AL5" i="51"/>
  <c r="AE5" i="51"/>
  <c r="AI5" i="51" s="1"/>
  <c r="AJ5" i="51" s="1"/>
  <c r="AL4" i="51"/>
  <c r="AE4" i="51"/>
  <c r="AI4" i="51" s="1"/>
  <c r="AJ4" i="51"/>
  <c r="AL3" i="51"/>
  <c r="AE3" i="51"/>
  <c r="AI3" i="51" s="1"/>
  <c r="AJ3" i="51" s="1"/>
  <c r="AG37" i="52"/>
  <c r="AG36" i="52"/>
  <c r="AE34" i="52"/>
  <c r="AI34" i="52"/>
  <c r="AJ34" i="52" s="1"/>
  <c r="AL33" i="52"/>
  <c r="AE33" i="52"/>
  <c r="AI33" i="52" s="1"/>
  <c r="AJ33" i="52" s="1"/>
  <c r="AL32" i="52"/>
  <c r="AE32" i="52"/>
  <c r="AI32" i="52" s="1"/>
  <c r="AJ32" i="52" s="1"/>
  <c r="AL31" i="52"/>
  <c r="AE31" i="52"/>
  <c r="AI31" i="52" s="1"/>
  <c r="AL30" i="52"/>
  <c r="AE30" i="52"/>
  <c r="AI30" i="52"/>
  <c r="AJ30" i="52" s="1"/>
  <c r="AL29" i="52"/>
  <c r="AE29" i="52"/>
  <c r="AI29" i="52" s="1"/>
  <c r="AJ29" i="52" s="1"/>
  <c r="AL28" i="52"/>
  <c r="AE28" i="52"/>
  <c r="AI28" i="52" s="1"/>
  <c r="AJ28" i="52" s="1"/>
  <c r="AL27" i="52"/>
  <c r="AE27" i="52"/>
  <c r="AI27" i="52"/>
  <c r="AJ27" i="52" s="1"/>
  <c r="AL26" i="52"/>
  <c r="AE26" i="52"/>
  <c r="AI26" i="52" s="1"/>
  <c r="AJ26" i="52" s="1"/>
  <c r="AL25" i="52"/>
  <c r="AE25" i="52"/>
  <c r="AI25" i="52"/>
  <c r="AJ25" i="52" s="1"/>
  <c r="AL24" i="52"/>
  <c r="AE24" i="52"/>
  <c r="AI24" i="52" s="1"/>
  <c r="AL23" i="52"/>
  <c r="AE23" i="52"/>
  <c r="AI23" i="52" s="1"/>
  <c r="AJ23" i="52" s="1"/>
  <c r="AL22" i="52"/>
  <c r="AE22" i="52"/>
  <c r="AI22" i="52"/>
  <c r="AJ22" i="52" s="1"/>
  <c r="AL21" i="52"/>
  <c r="AE21" i="52"/>
  <c r="AI21" i="52" s="1"/>
  <c r="AJ21" i="52" s="1"/>
  <c r="AL20" i="52"/>
  <c r="AE20" i="52"/>
  <c r="AI20" i="52" s="1"/>
  <c r="AJ20" i="52" s="1"/>
  <c r="AL19" i="52"/>
  <c r="AE19" i="52"/>
  <c r="AI19" i="52"/>
  <c r="AJ19" i="52" s="1"/>
  <c r="AL18" i="52"/>
  <c r="AE18" i="52"/>
  <c r="AI18" i="52" s="1"/>
  <c r="AJ18" i="52" s="1"/>
  <c r="AL17" i="52"/>
  <c r="AE17" i="52"/>
  <c r="AI17" i="52" s="1"/>
  <c r="AJ17" i="52" s="1"/>
  <c r="AL16" i="52"/>
  <c r="AE16" i="52"/>
  <c r="AI16" i="52" s="1"/>
  <c r="AJ16" i="52" s="1"/>
  <c r="AL15" i="52"/>
  <c r="AE15" i="52"/>
  <c r="AI15" i="52" s="1"/>
  <c r="AL14" i="52"/>
  <c r="AE14" i="52"/>
  <c r="AI14" i="52" s="1"/>
  <c r="AJ14" i="52" s="1"/>
  <c r="AL13" i="52"/>
  <c r="AE13" i="52"/>
  <c r="AI13" i="52"/>
  <c r="AJ13" i="52" s="1"/>
  <c r="AL12" i="52"/>
  <c r="AE12" i="52"/>
  <c r="AI12" i="52" s="1"/>
  <c r="AJ12" i="52" s="1"/>
  <c r="AL11" i="52"/>
  <c r="AE11" i="52"/>
  <c r="AI11" i="52" s="1"/>
  <c r="AL10" i="52"/>
  <c r="AE10" i="52"/>
  <c r="AI10" i="52"/>
  <c r="AJ10" i="52" s="1"/>
  <c r="AL9" i="52"/>
  <c r="AE9" i="52"/>
  <c r="AI9" i="52" s="1"/>
  <c r="AJ9" i="52" s="1"/>
  <c r="AL8" i="52"/>
  <c r="AE8" i="52"/>
  <c r="AI8" i="52" s="1"/>
  <c r="AL7" i="52"/>
  <c r="AE7" i="52"/>
  <c r="AI7" i="52"/>
  <c r="AJ7" i="52" s="1"/>
  <c r="AL6" i="52"/>
  <c r="AE6" i="52"/>
  <c r="AI6" i="52" s="1"/>
  <c r="AJ6" i="52" s="1"/>
  <c r="AL5" i="52"/>
  <c r="AE5" i="52"/>
  <c r="AI5" i="52"/>
  <c r="AJ5" i="52" s="1"/>
  <c r="AL4" i="52"/>
  <c r="AE4" i="52"/>
  <c r="AI4" i="52" s="1"/>
  <c r="AJ4" i="52" s="1"/>
  <c r="AL3" i="52"/>
  <c r="AE3" i="52"/>
  <c r="AI3" i="52" s="1"/>
  <c r="AG37" i="53"/>
  <c r="AG36" i="53"/>
  <c r="AE34" i="53"/>
  <c r="AI34" i="53" s="1"/>
  <c r="AJ34" i="53" s="1"/>
  <c r="AL33" i="53"/>
  <c r="AE33" i="53"/>
  <c r="AI33" i="53" s="1"/>
  <c r="AJ33" i="53"/>
  <c r="AL32" i="53"/>
  <c r="AE32" i="53"/>
  <c r="AI32" i="53" s="1"/>
  <c r="AJ32" i="53" s="1"/>
  <c r="AL31" i="53"/>
  <c r="AE31" i="53"/>
  <c r="AI31" i="53" s="1"/>
  <c r="AJ31" i="53" s="1"/>
  <c r="AL30" i="53"/>
  <c r="AE30" i="53"/>
  <c r="AI30" i="53" s="1"/>
  <c r="AL29" i="53"/>
  <c r="AE29" i="53"/>
  <c r="AI29" i="53" s="1"/>
  <c r="AJ29" i="53" s="1"/>
  <c r="AL28" i="53"/>
  <c r="AE28" i="53"/>
  <c r="AI28" i="53" s="1"/>
  <c r="AJ28" i="53"/>
  <c r="AL27" i="53"/>
  <c r="AE27" i="53"/>
  <c r="AI27" i="53" s="1"/>
  <c r="AJ27" i="53" s="1"/>
  <c r="AL26" i="53"/>
  <c r="AE26" i="53"/>
  <c r="AI26" i="53" s="1"/>
  <c r="AJ26" i="53" s="1"/>
  <c r="AL25" i="53"/>
  <c r="AE25" i="53"/>
  <c r="AI25" i="53" s="1"/>
  <c r="AJ25" i="53" s="1"/>
  <c r="AL24" i="53"/>
  <c r="AE24" i="53"/>
  <c r="AI24" i="53" s="1"/>
  <c r="AJ24" i="53"/>
  <c r="AL23" i="53"/>
  <c r="AE23" i="53"/>
  <c r="AI23" i="53" s="1"/>
  <c r="AL22" i="53"/>
  <c r="AE22" i="53"/>
  <c r="AI22" i="53" s="1"/>
  <c r="AJ22" i="53" s="1"/>
  <c r="AL21" i="53"/>
  <c r="AE21" i="53"/>
  <c r="AI21" i="53" s="1"/>
  <c r="AJ21" i="53"/>
  <c r="AL20" i="53"/>
  <c r="AE20" i="53"/>
  <c r="AI20" i="53" s="1"/>
  <c r="AJ20" i="53" s="1"/>
  <c r="AL19" i="53"/>
  <c r="AE19" i="53"/>
  <c r="AI19" i="53" s="1"/>
  <c r="AJ19" i="53" s="1"/>
  <c r="AL18" i="53"/>
  <c r="AE18" i="53"/>
  <c r="AI18" i="53" s="1"/>
  <c r="AJ18" i="53"/>
  <c r="AL17" i="53"/>
  <c r="AE17" i="53"/>
  <c r="AI17" i="53" s="1"/>
  <c r="AJ17" i="53" s="1"/>
  <c r="AL16" i="53"/>
  <c r="AE16" i="53"/>
  <c r="AI16" i="53" s="1"/>
  <c r="AJ16" i="53" s="1"/>
  <c r="AL15" i="53"/>
  <c r="AE15" i="53"/>
  <c r="AI15" i="53" s="1"/>
  <c r="AJ15" i="53" s="1"/>
  <c r="AL14" i="53"/>
  <c r="AE14" i="53"/>
  <c r="AI14" i="53" s="1"/>
  <c r="AL13" i="53"/>
  <c r="AE13" i="53"/>
  <c r="AI13" i="53" s="1"/>
  <c r="AJ13" i="53"/>
  <c r="AL12" i="53"/>
  <c r="AE12" i="53"/>
  <c r="AI12" i="53" s="1"/>
  <c r="AJ12" i="53"/>
  <c r="AL11" i="53"/>
  <c r="AE11" i="53"/>
  <c r="AI11" i="53" s="1"/>
  <c r="AJ11" i="53" s="1"/>
  <c r="AL10" i="53"/>
  <c r="AE10" i="53"/>
  <c r="AI10" i="53" s="1"/>
  <c r="AJ10" i="53"/>
  <c r="AL9" i="53"/>
  <c r="AE9" i="53"/>
  <c r="AI9" i="53" s="1"/>
  <c r="AJ9" i="53"/>
  <c r="AL8" i="53"/>
  <c r="AE8" i="53"/>
  <c r="AI8" i="53" s="1"/>
  <c r="AJ8" i="53" s="1"/>
  <c r="AL7" i="53"/>
  <c r="AE7" i="53"/>
  <c r="AI7" i="53" s="1"/>
  <c r="AL6" i="53"/>
  <c r="AE6" i="53"/>
  <c r="AI6" i="53"/>
  <c r="AL5" i="53"/>
  <c r="AE5" i="53"/>
  <c r="AI5" i="53" s="1"/>
  <c r="AJ5" i="53" s="1"/>
  <c r="AL4" i="53"/>
  <c r="AE4" i="53"/>
  <c r="AI4" i="53" s="1"/>
  <c r="AM3" i="53" s="1"/>
  <c r="AN3" i="53" s="1"/>
  <c r="AO3" i="53" s="1"/>
  <c r="AL3" i="53"/>
  <c r="AE3" i="53"/>
  <c r="AI3" i="53"/>
  <c r="AJ3" i="53" s="1"/>
  <c r="AG37" i="54"/>
  <c r="AG36" i="54"/>
  <c r="AE34" i="54"/>
  <c r="AI34" i="54" s="1"/>
  <c r="AJ34" i="54" s="1"/>
  <c r="AL33" i="54"/>
  <c r="AE33" i="54"/>
  <c r="AI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L28" i="54"/>
  <c r="AE28" i="54"/>
  <c r="AI28" i="54" s="1"/>
  <c r="AJ28" i="54" s="1"/>
  <c r="AL27" i="54"/>
  <c r="AE27" i="54"/>
  <c r="AI27" i="54" s="1"/>
  <c r="AJ27" i="54" s="1"/>
  <c r="AL26" i="54"/>
  <c r="AE26" i="54"/>
  <c r="AI26" i="54" s="1"/>
  <c r="AJ26" i="54" s="1"/>
  <c r="AL25" i="54"/>
  <c r="AE25" i="54"/>
  <c r="AI25" i="54" s="1"/>
  <c r="AL24" i="54"/>
  <c r="AE24" i="54"/>
  <c r="AI24" i="54" s="1"/>
  <c r="AJ24" i="54" s="1"/>
  <c r="AL23" i="54"/>
  <c r="AE23" i="54"/>
  <c r="AI23" i="54" s="1"/>
  <c r="AM22" i="54" s="1"/>
  <c r="AN22" i="54" s="1"/>
  <c r="AO22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L18" i="54"/>
  <c r="AE18" i="54"/>
  <c r="AI18" i="54" s="1"/>
  <c r="AJ18" i="54" s="1"/>
  <c r="AL17" i="54"/>
  <c r="AE17" i="54"/>
  <c r="AI17" i="54" s="1"/>
  <c r="AL16" i="54"/>
  <c r="AE16" i="54"/>
  <c r="AI16" i="54" s="1"/>
  <c r="AJ16" i="54" s="1"/>
  <c r="AL15" i="54"/>
  <c r="AE15" i="54"/>
  <c r="AI15" i="54" s="1"/>
  <c r="AM14" i="54" s="1"/>
  <c r="AN14" i="54" s="1"/>
  <c r="AO14" i="54" s="1"/>
  <c r="AL14" i="54"/>
  <c r="AE14" i="54"/>
  <c r="AI14" i="54" s="1"/>
  <c r="AJ14" i="54" s="1"/>
  <c r="AL13" i="54"/>
  <c r="AE13" i="54"/>
  <c r="AI13" i="54" s="1"/>
  <c r="AL12" i="54"/>
  <c r="AE12" i="54"/>
  <c r="AI12" i="54" s="1"/>
  <c r="AJ12" i="54" s="1"/>
  <c r="AL11" i="54"/>
  <c r="AE11" i="54"/>
  <c r="AI11" i="54" s="1"/>
  <c r="AL10" i="54"/>
  <c r="AE10" i="54"/>
  <c r="AI10" i="54" s="1"/>
  <c r="AJ10" i="54" s="1"/>
  <c r="AL9" i="54"/>
  <c r="AE9" i="54"/>
  <c r="AI9" i="54" s="1"/>
  <c r="AL8" i="54"/>
  <c r="AE8" i="54"/>
  <c r="AI8" i="54" s="1"/>
  <c r="AJ8" i="54" s="1"/>
  <c r="AL7" i="54"/>
  <c r="AE7" i="54"/>
  <c r="AI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L33" i="55"/>
  <c r="AE33" i="55"/>
  <c r="AI33" i="55"/>
  <c r="AJ33" i="55" s="1"/>
  <c r="AL32" i="55"/>
  <c r="AE32" i="55"/>
  <c r="AI32" i="55"/>
  <c r="AJ32" i="55" s="1"/>
  <c r="AL31" i="55"/>
  <c r="AE31" i="55"/>
  <c r="AI31" i="55" s="1"/>
  <c r="AL30" i="55"/>
  <c r="AE30" i="55"/>
  <c r="AI30" i="55"/>
  <c r="AJ30" i="55" s="1"/>
  <c r="AL29" i="55"/>
  <c r="AE29" i="55"/>
  <c r="AI29" i="55"/>
  <c r="AJ29" i="55" s="1"/>
  <c r="AL28" i="55"/>
  <c r="AE28" i="55"/>
  <c r="AI28" i="55"/>
  <c r="AJ28" i="55" s="1"/>
  <c r="AL27" i="55"/>
  <c r="AE27" i="55"/>
  <c r="AI27" i="55" s="1"/>
  <c r="AJ27" i="55" s="1"/>
  <c r="AL26" i="55"/>
  <c r="AE26" i="55"/>
  <c r="AI26" i="55" s="1"/>
  <c r="AJ26" i="55" s="1"/>
  <c r="AL25" i="55"/>
  <c r="AE25" i="55"/>
  <c r="AI25" i="55"/>
  <c r="AJ25" i="55" s="1"/>
  <c r="AL24" i="55"/>
  <c r="AE24" i="55"/>
  <c r="AI24" i="55"/>
  <c r="AJ24" i="55" s="1"/>
  <c r="AL23" i="55"/>
  <c r="AE23" i="55"/>
  <c r="AI23" i="55" s="1"/>
  <c r="AJ23" i="55" s="1"/>
  <c r="AL22" i="55"/>
  <c r="AE22" i="55"/>
  <c r="AI22" i="55" s="1"/>
  <c r="AL21" i="55"/>
  <c r="AE21" i="55"/>
  <c r="AI21" i="55"/>
  <c r="AJ21" i="55" s="1"/>
  <c r="AL20" i="55"/>
  <c r="AE20" i="55"/>
  <c r="AI20" i="55"/>
  <c r="AJ20" i="55" s="1"/>
  <c r="AL19" i="55"/>
  <c r="AE19" i="55"/>
  <c r="AI19" i="55" s="1"/>
  <c r="AJ19" i="55" s="1"/>
  <c r="AL18" i="55"/>
  <c r="AE18" i="55"/>
  <c r="AI18" i="55"/>
  <c r="AJ18" i="55" s="1"/>
  <c r="AL17" i="55"/>
  <c r="AE17" i="55"/>
  <c r="AI17" i="55"/>
  <c r="AJ17" i="55" s="1"/>
  <c r="AL16" i="55"/>
  <c r="AE16" i="55"/>
  <c r="AI16" i="55"/>
  <c r="AJ16" i="55" s="1"/>
  <c r="AL15" i="55"/>
  <c r="AE15" i="55"/>
  <c r="AI15" i="55" s="1"/>
  <c r="AJ15" i="55" s="1"/>
  <c r="AL14" i="55"/>
  <c r="AE14" i="55"/>
  <c r="AI14" i="55"/>
  <c r="AJ14" i="55" s="1"/>
  <c r="AL13" i="55"/>
  <c r="AE13" i="55"/>
  <c r="AI13" i="55"/>
  <c r="AJ13" i="55" s="1"/>
  <c r="AL12" i="55"/>
  <c r="AE12" i="55"/>
  <c r="AI12" i="55"/>
  <c r="AJ12" i="55" s="1"/>
  <c r="AL11" i="55"/>
  <c r="AE11" i="55"/>
  <c r="AI11" i="55" s="1"/>
  <c r="AJ11" i="55" s="1"/>
  <c r="AL10" i="55"/>
  <c r="AE10" i="55"/>
  <c r="AI10" i="55" s="1"/>
  <c r="AL9" i="55"/>
  <c r="AE9" i="55"/>
  <c r="AI9" i="55"/>
  <c r="AJ9" i="55" s="1"/>
  <c r="AL8" i="55"/>
  <c r="AE8" i="55"/>
  <c r="AI8" i="55"/>
  <c r="AJ8" i="55" s="1"/>
  <c r="AL7" i="55"/>
  <c r="AE7" i="55"/>
  <c r="AI7" i="55" s="1"/>
  <c r="AJ7" i="55" s="1"/>
  <c r="AL6" i="55"/>
  <c r="AE6" i="55"/>
  <c r="AI6" i="55" s="1"/>
  <c r="AJ6" i="55" s="1"/>
  <c r="AL5" i="55"/>
  <c r="AE5" i="55"/>
  <c r="AI5" i="55"/>
  <c r="AL4" i="55"/>
  <c r="AE4" i="55"/>
  <c r="AI4" i="55"/>
  <c r="AJ4" i="55" s="1"/>
  <c r="AL3" i="55"/>
  <c r="AE3" i="55"/>
  <c r="AI3" i="55" s="1"/>
  <c r="AJ3" i="55" s="1"/>
  <c r="AG37" i="56"/>
  <c r="AG36" i="56"/>
  <c r="AE34" i="56"/>
  <c r="AI34" i="56" s="1"/>
  <c r="AJ34" i="56" s="1"/>
  <c r="AL33" i="56"/>
  <c r="AE33" i="56"/>
  <c r="AI33" i="56" s="1"/>
  <c r="AJ33" i="56" s="1"/>
  <c r="AL32" i="56"/>
  <c r="AE32" i="56"/>
  <c r="AI32" i="56" s="1"/>
  <c r="AL31" i="56"/>
  <c r="AE31" i="56"/>
  <c r="AI31" i="56" s="1"/>
  <c r="AJ31" i="56" s="1"/>
  <c r="AL30" i="56"/>
  <c r="AE30" i="56"/>
  <c r="AI30" i="56" s="1"/>
  <c r="AL29" i="56"/>
  <c r="AE29" i="56"/>
  <c r="AI29" i="56" s="1"/>
  <c r="AJ29" i="56" s="1"/>
  <c r="AL28" i="56"/>
  <c r="AE28" i="56"/>
  <c r="AI28" i="56" s="1"/>
  <c r="AL27" i="56"/>
  <c r="AE27" i="56"/>
  <c r="AI27" i="56" s="1"/>
  <c r="AJ27" i="56" s="1"/>
  <c r="AL26" i="56"/>
  <c r="AE26" i="56"/>
  <c r="AI26" i="56" s="1"/>
  <c r="AL25" i="56"/>
  <c r="AE25" i="56"/>
  <c r="AI25" i="56" s="1"/>
  <c r="AJ25" i="56" s="1"/>
  <c r="AL24" i="56"/>
  <c r="AE24" i="56"/>
  <c r="AI24" i="56" s="1"/>
  <c r="AL23" i="56"/>
  <c r="AE23" i="56"/>
  <c r="AI23" i="56" s="1"/>
  <c r="AJ23" i="56" s="1"/>
  <c r="AL22" i="56"/>
  <c r="AE22" i="56"/>
  <c r="AI22" i="56" s="1"/>
  <c r="AJ22" i="56" s="1"/>
  <c r="AL21" i="56"/>
  <c r="AE21" i="56"/>
  <c r="AI21" i="56" s="1"/>
  <c r="AJ21" i="56" s="1"/>
  <c r="AL20" i="56"/>
  <c r="AE20" i="56"/>
  <c r="AI20" i="56" s="1"/>
  <c r="AL19" i="56"/>
  <c r="AE19" i="56"/>
  <c r="AI19" i="56" s="1"/>
  <c r="AJ19" i="56" s="1"/>
  <c r="AL18" i="56"/>
  <c r="AE18" i="56"/>
  <c r="AI18" i="56" s="1"/>
  <c r="AL17" i="56"/>
  <c r="AE17" i="56"/>
  <c r="AI17" i="56" s="1"/>
  <c r="AJ17" i="56" s="1"/>
  <c r="AL16" i="56"/>
  <c r="AE16" i="56"/>
  <c r="AI16" i="56" s="1"/>
  <c r="AL15" i="56"/>
  <c r="AE15" i="56"/>
  <c r="AI15" i="56" s="1"/>
  <c r="AJ15" i="56" s="1"/>
  <c r="AL14" i="56"/>
  <c r="AE14" i="56"/>
  <c r="AI14" i="56" s="1"/>
  <c r="AL13" i="56"/>
  <c r="AE13" i="56"/>
  <c r="AI13" i="56" s="1"/>
  <c r="AJ13" i="56" s="1"/>
  <c r="AL12" i="56"/>
  <c r="AE12" i="56"/>
  <c r="AI12" i="56" s="1"/>
  <c r="AL11" i="56"/>
  <c r="AE11" i="56"/>
  <c r="AI11" i="56" s="1"/>
  <c r="AJ11" i="56" s="1"/>
  <c r="AL10" i="56"/>
  <c r="AE10" i="56"/>
  <c r="AI10" i="56" s="1"/>
  <c r="AL9" i="56"/>
  <c r="AE9" i="56"/>
  <c r="AI9" i="56" s="1"/>
  <c r="AJ9" i="56" s="1"/>
  <c r="AL8" i="56"/>
  <c r="AE8" i="56"/>
  <c r="AI8" i="56" s="1"/>
  <c r="AL7" i="56"/>
  <c r="AE7" i="56"/>
  <c r="AI7" i="56" s="1"/>
  <c r="AJ7" i="56" s="1"/>
  <c r="AL6" i="56"/>
  <c r="AE6" i="56"/>
  <c r="AI6" i="56" s="1"/>
  <c r="AL5" i="56"/>
  <c r="AE5" i="56"/>
  <c r="AI5" i="56" s="1"/>
  <c r="AJ5" i="56" s="1"/>
  <c r="AL4" i="56"/>
  <c r="AE4" i="56"/>
  <c r="AI4" i="56" s="1"/>
  <c r="AL3" i="56"/>
  <c r="AE3" i="56"/>
  <c r="AI3" i="56" s="1"/>
  <c r="AJ3" i="56" s="1"/>
  <c r="AG37" i="57"/>
  <c r="AG36" i="57"/>
  <c r="AE34" i="57"/>
  <c r="AI34" i="57" s="1"/>
  <c r="AJ34" i="57" s="1"/>
  <c r="AL33" i="57"/>
  <c r="AE33" i="57"/>
  <c r="AI33" i="57" s="1"/>
  <c r="AJ33" i="57" s="1"/>
  <c r="AL32" i="57"/>
  <c r="AE32" i="57"/>
  <c r="AI32" i="57" s="1"/>
  <c r="AJ32" i="57" s="1"/>
  <c r="AL31" i="57"/>
  <c r="AE31" i="57"/>
  <c r="AI31" i="57" s="1"/>
  <c r="AJ31" i="57" s="1"/>
  <c r="AL30" i="57"/>
  <c r="AE30" i="57"/>
  <c r="AI30" i="57" s="1"/>
  <c r="AJ30" i="57" s="1"/>
  <c r="AL29" i="57"/>
  <c r="AE29" i="57"/>
  <c r="AI29" i="57"/>
  <c r="AJ29" i="57" s="1"/>
  <c r="AL28" i="57"/>
  <c r="AE28" i="57"/>
  <c r="AI28" i="57" s="1"/>
  <c r="AL27" i="57"/>
  <c r="AE27" i="57"/>
  <c r="AI27" i="57" s="1"/>
  <c r="AL26" i="57"/>
  <c r="AE26" i="57"/>
  <c r="AI26" i="57"/>
  <c r="AJ26" i="57" s="1"/>
  <c r="AL25" i="57"/>
  <c r="AE25" i="57"/>
  <c r="AI25" i="57"/>
  <c r="AJ25" i="57" s="1"/>
  <c r="AL24" i="57"/>
  <c r="AE24" i="57"/>
  <c r="AI24" i="57" s="1"/>
  <c r="AJ24" i="57" s="1"/>
  <c r="AL23" i="57"/>
  <c r="AE23" i="57"/>
  <c r="AI23" i="57"/>
  <c r="AJ23" i="57" s="1"/>
  <c r="AL22" i="57"/>
  <c r="AE22" i="57"/>
  <c r="AI22" i="57"/>
  <c r="AJ22" i="57" s="1"/>
  <c r="AL21" i="57"/>
  <c r="AE21" i="57"/>
  <c r="AI21" i="57" s="1"/>
  <c r="AJ21" i="57" s="1"/>
  <c r="AL20" i="57"/>
  <c r="AE20" i="57"/>
  <c r="AI20" i="57" s="1"/>
  <c r="AL19" i="57"/>
  <c r="AE19" i="57"/>
  <c r="AI19" i="57"/>
  <c r="AL18" i="57"/>
  <c r="AE18" i="57"/>
  <c r="AI18" i="57" s="1"/>
  <c r="AJ18" i="57" s="1"/>
  <c r="AL17" i="57"/>
  <c r="AE17" i="57"/>
  <c r="AI17" i="57" s="1"/>
  <c r="AJ17" i="57" s="1"/>
  <c r="AL16" i="57"/>
  <c r="AE16" i="57"/>
  <c r="AI16" i="57" s="1"/>
  <c r="AJ16" i="57" s="1"/>
  <c r="AL15" i="57"/>
  <c r="AN15" i="57" s="1"/>
  <c r="AO15" i="57" s="1"/>
  <c r="AE15" i="57"/>
  <c r="AI15" i="57" s="1"/>
  <c r="AJ15" i="57" s="1"/>
  <c r="AL14" i="57"/>
  <c r="AE14" i="57"/>
  <c r="AI14" i="57" s="1"/>
  <c r="AJ14" i="57" s="1"/>
  <c r="AL13" i="57"/>
  <c r="AE13" i="57"/>
  <c r="AI13" i="57"/>
  <c r="AJ13" i="57" s="1"/>
  <c r="AL12" i="57"/>
  <c r="AE12" i="57"/>
  <c r="AI12" i="57" s="1"/>
  <c r="AL11" i="57"/>
  <c r="AE11" i="57"/>
  <c r="AI11" i="57" s="1"/>
  <c r="AL10" i="57"/>
  <c r="AE10" i="57"/>
  <c r="AI10" i="57" s="1"/>
  <c r="AL9" i="57"/>
  <c r="AE9" i="57"/>
  <c r="AI9" i="57"/>
  <c r="AJ9" i="57" s="1"/>
  <c r="AL8" i="57"/>
  <c r="AE8" i="57"/>
  <c r="AI8" i="57" s="1"/>
  <c r="AJ8" i="57" s="1"/>
  <c r="AL7" i="57"/>
  <c r="AE7" i="57"/>
  <c r="AI7" i="57" s="1"/>
  <c r="AJ7" i="57" s="1"/>
  <c r="AL6" i="57"/>
  <c r="AE6" i="57"/>
  <c r="AI6" i="57"/>
  <c r="AJ6" i="57" s="1"/>
  <c r="AL5" i="57"/>
  <c r="AE5" i="57"/>
  <c r="AI5" i="57" s="1"/>
  <c r="AJ5" i="57" s="1"/>
  <c r="AL4" i="57"/>
  <c r="AE4" i="57"/>
  <c r="AI4" i="57" s="1"/>
  <c r="AJ4" i="57" s="1"/>
  <c r="AL3" i="57"/>
  <c r="AE3" i="57"/>
  <c r="AI3" i="57"/>
  <c r="AJ3" i="57" s="1"/>
  <c r="AG37" i="58"/>
  <c r="AG36" i="58"/>
  <c r="AE34" i="58"/>
  <c r="AI34" i="58" s="1"/>
  <c r="AJ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J26" i="58" s="1"/>
  <c r="AL25" i="58"/>
  <c r="AE25" i="58"/>
  <c r="AI25" i="58" s="1"/>
  <c r="AJ25" i="58" s="1"/>
  <c r="AL24" i="58"/>
  <c r="AE24" i="58"/>
  <c r="AI24" i="58" s="1"/>
  <c r="AJ24" i="58" s="1"/>
  <c r="AL23" i="58"/>
  <c r="AE23" i="58"/>
  <c r="AI23" i="58" s="1"/>
  <c r="AJ23" i="58" s="1"/>
  <c r="AL22" i="58"/>
  <c r="AE22" i="58"/>
  <c r="AI22" i="58" s="1"/>
  <c r="AJ22" i="58" s="1"/>
  <c r="AL21" i="58"/>
  <c r="AE21" i="58"/>
  <c r="AI21" i="58" s="1"/>
  <c r="AJ21" i="58" s="1"/>
  <c r="AL20" i="58"/>
  <c r="AE20" i="58"/>
  <c r="AI20" i="58" s="1"/>
  <c r="AJ20" i="58" s="1"/>
  <c r="AL19" i="58"/>
  <c r="AE19" i="58"/>
  <c r="AI19" i="58" s="1"/>
  <c r="AJ19" i="58" s="1"/>
  <c r="AL18" i="58"/>
  <c r="AE18" i="58"/>
  <c r="AI18" i="58" s="1"/>
  <c r="AJ18" i="58" s="1"/>
  <c r="AL17" i="58"/>
  <c r="AE17" i="58"/>
  <c r="AI17" i="58" s="1"/>
  <c r="AJ17" i="58" s="1"/>
  <c r="AL16" i="58"/>
  <c r="AE16" i="58"/>
  <c r="AI16" i="58" s="1"/>
  <c r="AJ16" i="58" s="1"/>
  <c r="AL15" i="58"/>
  <c r="AE15" i="58"/>
  <c r="AI15" i="58" s="1"/>
  <c r="AJ15" i="58" s="1"/>
  <c r="AL14" i="58"/>
  <c r="AE14" i="58"/>
  <c r="AI14" i="58" s="1"/>
  <c r="AJ14" i="58" s="1"/>
  <c r="AL13" i="58"/>
  <c r="AE13" i="58"/>
  <c r="AI13" i="58" s="1"/>
  <c r="AJ13" i="58" s="1"/>
  <c r="AL12" i="58"/>
  <c r="AE12" i="58"/>
  <c r="AI12" i="58" s="1"/>
  <c r="AJ12" i="58" s="1"/>
  <c r="AL11" i="58"/>
  <c r="AE11" i="58"/>
  <c r="AI11" i="58" s="1"/>
  <c r="AJ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J8" i="58" s="1"/>
  <c r="AL7" i="58"/>
  <c r="AE7" i="58"/>
  <c r="AI7" i="58" s="1"/>
  <c r="AJ7" i="58" s="1"/>
  <c r="AL6" i="58"/>
  <c r="AE6" i="58"/>
  <c r="AI6" i="58" s="1"/>
  <c r="AJ6" i="58" s="1"/>
  <c r="AL5" i="58"/>
  <c r="AE5" i="58"/>
  <c r="AI5" i="58" s="1"/>
  <c r="AJ5" i="58" s="1"/>
  <c r="AL4" i="58"/>
  <c r="AE4" i="58"/>
  <c r="AI4" i="58" s="1"/>
  <c r="AJ4" i="58" s="1"/>
  <c r="AL3" i="58"/>
  <c r="AE3" i="58"/>
  <c r="AI3" i="58" s="1"/>
  <c r="AJ3" i="58" s="1"/>
  <c r="AG37" i="59"/>
  <c r="AG36" i="59"/>
  <c r="AE34" i="59"/>
  <c r="AI34" i="59"/>
  <c r="AJ34" i="59" s="1"/>
  <c r="AL33" i="59"/>
  <c r="AE33" i="59"/>
  <c r="AI33" i="59"/>
  <c r="AJ33" i="59" s="1"/>
  <c r="AL32" i="59"/>
  <c r="AE32" i="59"/>
  <c r="AI32" i="59"/>
  <c r="AJ32" i="59" s="1"/>
  <c r="AL31" i="59"/>
  <c r="AE31" i="59"/>
  <c r="AI31" i="59" s="1"/>
  <c r="AJ31" i="59" s="1"/>
  <c r="AL30" i="59"/>
  <c r="AE30" i="59"/>
  <c r="AI30" i="59" s="1"/>
  <c r="AJ30" i="59" s="1"/>
  <c r="AL29" i="59"/>
  <c r="AE29" i="59"/>
  <c r="AI29" i="59"/>
  <c r="AJ29" i="59" s="1"/>
  <c r="AL28" i="59"/>
  <c r="AE28" i="59"/>
  <c r="AI28" i="59"/>
  <c r="AJ28" i="59" s="1"/>
  <c r="AL27" i="59"/>
  <c r="AE27" i="59"/>
  <c r="AI27" i="59" s="1"/>
  <c r="AJ27" i="59" s="1"/>
  <c r="AL26" i="59"/>
  <c r="AE26" i="59"/>
  <c r="AI26" i="59"/>
  <c r="AJ26" i="59" s="1"/>
  <c r="AL25" i="59"/>
  <c r="AE25" i="59"/>
  <c r="AI25" i="59"/>
  <c r="AJ25" i="59" s="1"/>
  <c r="AL24" i="59"/>
  <c r="AE24" i="59"/>
  <c r="AI24" i="59"/>
  <c r="AJ24" i="59" s="1"/>
  <c r="AL23" i="59"/>
  <c r="AE23" i="59"/>
  <c r="AI23" i="59" s="1"/>
  <c r="AL22" i="59"/>
  <c r="AE22" i="59"/>
  <c r="AI22" i="59" s="1"/>
  <c r="AJ22" i="59" s="1"/>
  <c r="AL21" i="59"/>
  <c r="AE21" i="59"/>
  <c r="AI21" i="59"/>
  <c r="AJ21" i="59" s="1"/>
  <c r="AL20" i="59"/>
  <c r="AE20" i="59"/>
  <c r="AI20" i="59"/>
  <c r="AJ20" i="59" s="1"/>
  <c r="AL19" i="59"/>
  <c r="AE19" i="59"/>
  <c r="AI19" i="59" s="1"/>
  <c r="AJ19" i="59" s="1"/>
  <c r="AL18" i="59"/>
  <c r="AE18" i="59"/>
  <c r="AI18" i="59"/>
  <c r="AJ18" i="59" s="1"/>
  <c r="AL17" i="59"/>
  <c r="AE17" i="59"/>
  <c r="AI17" i="59"/>
  <c r="AJ17" i="59" s="1"/>
  <c r="AL16" i="59"/>
  <c r="AE16" i="59"/>
  <c r="AI16" i="59"/>
  <c r="AJ16" i="59" s="1"/>
  <c r="AL15" i="59"/>
  <c r="AE15" i="59"/>
  <c r="AI15" i="59" s="1"/>
  <c r="AJ15" i="59" s="1"/>
  <c r="AL14" i="59"/>
  <c r="AE14" i="59"/>
  <c r="AI14" i="59" s="1"/>
  <c r="AJ14" i="59" s="1"/>
  <c r="AL13" i="59"/>
  <c r="AE13" i="59"/>
  <c r="AI13" i="59"/>
  <c r="AJ13" i="59" s="1"/>
  <c r="AL12" i="59"/>
  <c r="AE12" i="59"/>
  <c r="AI12" i="59"/>
  <c r="AJ12" i="59" s="1"/>
  <c r="AL11" i="59"/>
  <c r="AE11" i="59"/>
  <c r="AI11" i="59" s="1"/>
  <c r="AJ11" i="59" s="1"/>
  <c r="AL10" i="59"/>
  <c r="AE10" i="59"/>
  <c r="AI10" i="59"/>
  <c r="AJ10" i="59" s="1"/>
  <c r="AL9" i="59"/>
  <c r="AE9" i="59"/>
  <c r="AI9" i="59"/>
  <c r="AJ9" i="59" s="1"/>
  <c r="AL8" i="59"/>
  <c r="AE8" i="59"/>
  <c r="AI8" i="59"/>
  <c r="AJ8" i="59" s="1"/>
  <c r="AL7" i="59"/>
  <c r="AE7" i="59"/>
  <c r="AI7" i="59" s="1"/>
  <c r="AJ7" i="59" s="1"/>
  <c r="AL6" i="59"/>
  <c r="AE6" i="59"/>
  <c r="AI6" i="59" s="1"/>
  <c r="AL5" i="59"/>
  <c r="AE5" i="59"/>
  <c r="AI5" i="59"/>
  <c r="AJ5" i="59" s="1"/>
  <c r="AL4" i="59"/>
  <c r="AE4" i="59"/>
  <c r="AI4" i="59"/>
  <c r="AJ4" i="59" s="1"/>
  <c r="AL3" i="59"/>
  <c r="AE3" i="59"/>
  <c r="AI3" i="59" s="1"/>
  <c r="AJ3" i="59" s="1"/>
  <c r="AG37" i="60"/>
  <c r="AG36" i="60"/>
  <c r="AE34" i="60"/>
  <c r="AI34" i="60" s="1"/>
  <c r="AJ34" i="60" s="1"/>
  <c r="AL33" i="60"/>
  <c r="AE33" i="60"/>
  <c r="AI33" i="60" s="1"/>
  <c r="AJ33" i="60" s="1"/>
  <c r="AL32" i="60"/>
  <c r="AE32" i="60"/>
  <c r="AI32" i="60" s="1"/>
  <c r="AJ32" i="60" s="1"/>
  <c r="AL31" i="60"/>
  <c r="AE31" i="60"/>
  <c r="AI31" i="60" s="1"/>
  <c r="AJ31" i="60" s="1"/>
  <c r="AL30" i="60"/>
  <c r="AE30" i="60"/>
  <c r="AI30" i="60" s="1"/>
  <c r="AJ30" i="60" s="1"/>
  <c r="AL29" i="60"/>
  <c r="AE29" i="60"/>
  <c r="AI29" i="60" s="1"/>
  <c r="AJ29" i="60" s="1"/>
  <c r="AL28" i="60"/>
  <c r="AE28" i="60"/>
  <c r="AI28" i="60" s="1"/>
  <c r="AJ28" i="60" s="1"/>
  <c r="AL27" i="60"/>
  <c r="AE27" i="60"/>
  <c r="AI27" i="60" s="1"/>
  <c r="AJ27" i="60" s="1"/>
  <c r="AL26" i="60"/>
  <c r="AE26" i="60"/>
  <c r="AI26" i="60" s="1"/>
  <c r="AJ26" i="60" s="1"/>
  <c r="AL25" i="60"/>
  <c r="AE25" i="60"/>
  <c r="AI25" i="60" s="1"/>
  <c r="AJ25" i="60" s="1"/>
  <c r="AL24" i="60"/>
  <c r="AE24" i="60"/>
  <c r="AI24" i="60" s="1"/>
  <c r="AJ24" i="60" s="1"/>
  <c r="AL23" i="60"/>
  <c r="AE23" i="60"/>
  <c r="AI23" i="60" s="1"/>
  <c r="AJ23" i="60" s="1"/>
  <c r="AL22" i="60"/>
  <c r="AE22" i="60"/>
  <c r="AI22" i="60" s="1"/>
  <c r="AJ22" i="60" s="1"/>
  <c r="AL21" i="60"/>
  <c r="AE21" i="60"/>
  <c r="AI21" i="60" s="1"/>
  <c r="AJ21" i="60" s="1"/>
  <c r="AL20" i="60"/>
  <c r="AE20" i="60"/>
  <c r="AI20" i="60" s="1"/>
  <c r="AJ20" i="60" s="1"/>
  <c r="AL19" i="60"/>
  <c r="AE19" i="60"/>
  <c r="AI19" i="60" s="1"/>
  <c r="AJ19" i="60" s="1"/>
  <c r="AL18" i="60"/>
  <c r="AE18" i="60"/>
  <c r="AI18" i="60" s="1"/>
  <c r="AJ18" i="60" s="1"/>
  <c r="AL17" i="60"/>
  <c r="AE17" i="60"/>
  <c r="AI17" i="60" s="1"/>
  <c r="AJ17" i="60" s="1"/>
  <c r="AL16" i="60"/>
  <c r="AE16" i="60"/>
  <c r="AI16" i="60" s="1"/>
  <c r="AJ16" i="60" s="1"/>
  <c r="AL15" i="60"/>
  <c r="AE15" i="60"/>
  <c r="AI15" i="60" s="1"/>
  <c r="AJ15" i="60" s="1"/>
  <c r="AL14" i="60"/>
  <c r="AE14" i="60"/>
  <c r="AI14" i="60" s="1"/>
  <c r="AJ14" i="60" s="1"/>
  <c r="AL13" i="60"/>
  <c r="AE13" i="60"/>
  <c r="AI13" i="60" s="1"/>
  <c r="AJ13" i="60" s="1"/>
  <c r="AL12" i="60"/>
  <c r="AE12" i="60"/>
  <c r="AI12" i="60" s="1"/>
  <c r="AJ12" i="60"/>
  <c r="AL11" i="60"/>
  <c r="AE11" i="60"/>
  <c r="AI11" i="60" s="1"/>
  <c r="AJ11" i="60"/>
  <c r="AL10" i="60"/>
  <c r="AE10" i="60"/>
  <c r="AI10" i="60" s="1"/>
  <c r="AJ10" i="60" s="1"/>
  <c r="AL9" i="60"/>
  <c r="AE9" i="60"/>
  <c r="AI9" i="60" s="1"/>
  <c r="AJ9" i="60"/>
  <c r="AL8" i="60"/>
  <c r="AE8" i="60"/>
  <c r="AI8" i="60" s="1"/>
  <c r="AJ8" i="60"/>
  <c r="AL7" i="60"/>
  <c r="AE7" i="60"/>
  <c r="AI7" i="60" s="1"/>
  <c r="AJ7" i="60"/>
  <c r="AL6" i="60"/>
  <c r="AE6" i="60"/>
  <c r="AI6" i="60" s="1"/>
  <c r="AJ6" i="60" s="1"/>
  <c r="AL5" i="60"/>
  <c r="AE5" i="60"/>
  <c r="AI5" i="60" s="1"/>
  <c r="AJ5" i="60" s="1"/>
  <c r="AL4" i="60"/>
  <c r="AE4" i="60"/>
  <c r="AI4" i="60" s="1"/>
  <c r="AJ4" i="60"/>
  <c r="AJ36" i="60" s="1"/>
  <c r="AL3" i="60"/>
  <c r="AE3" i="60"/>
  <c r="AI3" i="60" s="1"/>
  <c r="AJ3" i="60"/>
  <c r="P6" i="29"/>
  <c r="O6" i="29" s="1"/>
  <c r="P7" i="29"/>
  <c r="P8" i="29"/>
  <c r="P9" i="29"/>
  <c r="P10" i="29"/>
  <c r="P11" i="29"/>
  <c r="P12" i="29"/>
  <c r="P13" i="29"/>
  <c r="P14" i="29"/>
  <c r="P15" i="29"/>
  <c r="O15" i="29" s="1"/>
  <c r="P16" i="29"/>
  <c r="P17" i="29"/>
  <c r="O17" i="29" s="1"/>
  <c r="P18" i="29"/>
  <c r="P19" i="29"/>
  <c r="O19" i="29" s="1"/>
  <c r="P20" i="29"/>
  <c r="P21" i="29"/>
  <c r="O21" i="29" s="1"/>
  <c r="P22" i="29"/>
  <c r="P23" i="29"/>
  <c r="O23" i="29" s="1"/>
  <c r="P24" i="29"/>
  <c r="P25" i="29"/>
  <c r="W25" i="29" s="1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P33" i="29"/>
  <c r="W33" i="29" s="1"/>
  <c r="P34" i="29"/>
  <c r="O34" i="29" s="1"/>
  <c r="P35" i="29"/>
  <c r="P5" i="29"/>
  <c r="G39" i="29"/>
  <c r="F39" i="29"/>
  <c r="G38" i="29"/>
  <c r="F38" i="29"/>
  <c r="F44" i="29" s="1"/>
  <c r="J37" i="29"/>
  <c r="J38" i="29"/>
  <c r="G37" i="29"/>
  <c r="F37" i="29"/>
  <c r="B37" i="29"/>
  <c r="S35" i="29"/>
  <c r="S34" i="29"/>
  <c r="S33" i="29"/>
  <c r="S32" i="29"/>
  <c r="S31" i="29"/>
  <c r="T31" i="29" s="1"/>
  <c r="S30" i="29"/>
  <c r="S29" i="29"/>
  <c r="S28" i="29"/>
  <c r="S27" i="29"/>
  <c r="S26" i="29"/>
  <c r="S25" i="29"/>
  <c r="S24" i="29"/>
  <c r="T24" i="29" s="1"/>
  <c r="S23" i="29"/>
  <c r="T23" i="29" s="1"/>
  <c r="S22" i="29"/>
  <c r="S21" i="29"/>
  <c r="S20" i="29"/>
  <c r="T20" i="29" s="1"/>
  <c r="S19" i="29"/>
  <c r="T19" i="29" s="1"/>
  <c r="S18" i="29"/>
  <c r="S17" i="29"/>
  <c r="S16" i="29"/>
  <c r="T16" i="29" s="1"/>
  <c r="S15" i="29"/>
  <c r="T15" i="29" s="1"/>
  <c r="S14" i="29"/>
  <c r="S13" i="29"/>
  <c r="S12" i="29"/>
  <c r="T12" i="29" s="1"/>
  <c r="S11" i="29"/>
  <c r="T11" i="29" s="1"/>
  <c r="S10" i="29"/>
  <c r="S9" i="29"/>
  <c r="S8" i="29"/>
  <c r="T8" i="29" s="1"/>
  <c r="S7" i="29"/>
  <c r="T7" i="29" s="1"/>
  <c r="S6" i="29"/>
  <c r="S5" i="29"/>
  <c r="L44" i="30"/>
  <c r="M38" i="30"/>
  <c r="L38" i="30"/>
  <c r="M37" i="30"/>
  <c r="M45" i="30"/>
  <c r="L37" i="30"/>
  <c r="L45" i="30" s="1"/>
  <c r="O36" i="30"/>
  <c r="O37" i="30"/>
  <c r="M36" i="30"/>
  <c r="L36" i="30"/>
  <c r="E36" i="30"/>
  <c r="V33" i="30"/>
  <c r="W33" i="30" s="1"/>
  <c r="S33" i="30"/>
  <c r="P33" i="30"/>
  <c r="V32" i="30"/>
  <c r="W32" i="30"/>
  <c r="S32" i="30"/>
  <c r="R32" i="30" s="1"/>
  <c r="Y32" i="30" s="1"/>
  <c r="P32" i="30"/>
  <c r="V31" i="30"/>
  <c r="S31" i="30"/>
  <c r="Z31" i="30" s="1"/>
  <c r="P31" i="30"/>
  <c r="V30" i="30"/>
  <c r="W30" i="30"/>
  <c r="S30" i="30"/>
  <c r="R30" i="30" s="1"/>
  <c r="P30" i="30"/>
  <c r="V29" i="30"/>
  <c r="S29" i="30"/>
  <c r="Z29" i="30" s="1"/>
  <c r="P29" i="30"/>
  <c r="W28" i="30"/>
  <c r="V28" i="30"/>
  <c r="S28" i="30"/>
  <c r="Z28" i="30" s="1"/>
  <c r="P28" i="30"/>
  <c r="V27" i="30"/>
  <c r="W27" i="30" s="1"/>
  <c r="S27" i="30"/>
  <c r="R27" i="30" s="1"/>
  <c r="Y27" i="30" s="1"/>
  <c r="P27" i="30"/>
  <c r="V26" i="30"/>
  <c r="W26" i="30" s="1"/>
  <c r="S26" i="30"/>
  <c r="P26" i="30"/>
  <c r="V25" i="30"/>
  <c r="W25" i="30" s="1"/>
  <c r="S25" i="30"/>
  <c r="P25" i="30"/>
  <c r="V24" i="30"/>
  <c r="W24" i="30" s="1"/>
  <c r="S24" i="30"/>
  <c r="Z24" i="30" s="1"/>
  <c r="P24" i="30"/>
  <c r="V23" i="30"/>
  <c r="S23" i="30"/>
  <c r="P23" i="30"/>
  <c r="V22" i="30"/>
  <c r="W22" i="30"/>
  <c r="S22" i="30"/>
  <c r="P22" i="30"/>
  <c r="V21" i="30"/>
  <c r="S21" i="30"/>
  <c r="Z21" i="30"/>
  <c r="P21" i="30"/>
  <c r="V20" i="30"/>
  <c r="W20" i="30"/>
  <c r="S20" i="30"/>
  <c r="Z20" i="30" s="1"/>
  <c r="P20" i="30"/>
  <c r="V19" i="30"/>
  <c r="S19" i="30"/>
  <c r="Z19" i="30" s="1"/>
  <c r="P19" i="30"/>
  <c r="V18" i="30"/>
  <c r="S18" i="30"/>
  <c r="P18" i="30"/>
  <c r="V17" i="30"/>
  <c r="S17" i="30"/>
  <c r="Z17" i="30"/>
  <c r="P17" i="30"/>
  <c r="V16" i="30"/>
  <c r="W16" i="30"/>
  <c r="S16" i="30"/>
  <c r="R16" i="30" s="1"/>
  <c r="T16" i="30" s="1"/>
  <c r="AA16" i="30" s="1"/>
  <c r="P16" i="30"/>
  <c r="V15" i="30"/>
  <c r="S15" i="30"/>
  <c r="Z15" i="30" s="1"/>
  <c r="P15" i="30"/>
  <c r="V14" i="30"/>
  <c r="W14" i="30" s="1"/>
  <c r="S14" i="30"/>
  <c r="R14" i="30" s="1"/>
  <c r="P14" i="30"/>
  <c r="V13" i="30"/>
  <c r="S13" i="30"/>
  <c r="Z13" i="30" s="1"/>
  <c r="P13" i="30"/>
  <c r="V12" i="30"/>
  <c r="W12" i="30" s="1"/>
  <c r="S12" i="30"/>
  <c r="P12" i="30"/>
  <c r="V11" i="30"/>
  <c r="W11" i="30" s="1"/>
  <c r="S11" i="30"/>
  <c r="P11" i="30"/>
  <c r="V10" i="30"/>
  <c r="W10" i="30"/>
  <c r="S10" i="30"/>
  <c r="P10" i="30"/>
  <c r="V9" i="30"/>
  <c r="S9" i="30"/>
  <c r="Z9" i="30" s="1"/>
  <c r="P9" i="30"/>
  <c r="V8" i="30"/>
  <c r="W8" i="30"/>
  <c r="S8" i="30"/>
  <c r="R8" i="30" s="1"/>
  <c r="T8" i="30" s="1"/>
  <c r="AA8" i="30" s="1"/>
  <c r="P8" i="30"/>
  <c r="V7" i="30"/>
  <c r="W7" i="30" s="1"/>
  <c r="S7" i="30"/>
  <c r="P7" i="30"/>
  <c r="V6" i="30"/>
  <c r="W6" i="30" s="1"/>
  <c r="S6" i="30"/>
  <c r="R6" i="30" s="1"/>
  <c r="T6" i="30" s="1"/>
  <c r="AA6" i="30" s="1"/>
  <c r="P6" i="30"/>
  <c r="V5" i="30"/>
  <c r="S5" i="30"/>
  <c r="P5" i="30"/>
  <c r="V4" i="30"/>
  <c r="W4" i="30" s="1"/>
  <c r="S4" i="30"/>
  <c r="P4" i="30"/>
  <c r="V3" i="30"/>
  <c r="S3" i="30"/>
  <c r="P3" i="30"/>
  <c r="M38" i="31"/>
  <c r="L38" i="31"/>
  <c r="M37" i="31"/>
  <c r="M45" i="31"/>
  <c r="L37" i="31"/>
  <c r="L44" i="31"/>
  <c r="O36" i="31"/>
  <c r="O37" i="31"/>
  <c r="M36" i="31"/>
  <c r="L36" i="31"/>
  <c r="E36" i="31"/>
  <c r="V33" i="31"/>
  <c r="S33" i="31"/>
  <c r="P33" i="31"/>
  <c r="V32" i="31"/>
  <c r="W32" i="31" s="1"/>
  <c r="S32" i="31"/>
  <c r="R32" i="31" s="1"/>
  <c r="T32" i="31" s="1"/>
  <c r="AA32" i="31" s="1"/>
  <c r="P32" i="31"/>
  <c r="V31" i="31"/>
  <c r="S31" i="31"/>
  <c r="Z31" i="31" s="1"/>
  <c r="P31" i="31"/>
  <c r="V30" i="31"/>
  <c r="W30" i="31" s="1"/>
  <c r="S30" i="31"/>
  <c r="P30" i="31"/>
  <c r="V29" i="31"/>
  <c r="S29" i="31"/>
  <c r="P29" i="31"/>
  <c r="V28" i="31"/>
  <c r="W28" i="31"/>
  <c r="S28" i="31"/>
  <c r="P28" i="31"/>
  <c r="V27" i="31"/>
  <c r="W27" i="31" s="1"/>
  <c r="S27" i="31"/>
  <c r="Z27" i="31" s="1"/>
  <c r="P27" i="31"/>
  <c r="V26" i="31"/>
  <c r="W26" i="31" s="1"/>
  <c r="S26" i="31"/>
  <c r="Z26" i="31" s="1"/>
  <c r="P26" i="31"/>
  <c r="V25" i="31"/>
  <c r="S25" i="31"/>
  <c r="Z25" i="31" s="1"/>
  <c r="P25" i="31"/>
  <c r="V24" i="31"/>
  <c r="W24" i="31"/>
  <c r="S24" i="31"/>
  <c r="R24" i="31" s="1"/>
  <c r="P24" i="31"/>
  <c r="V23" i="31"/>
  <c r="S23" i="31"/>
  <c r="Z23" i="31" s="1"/>
  <c r="P23" i="31"/>
  <c r="V22" i="31"/>
  <c r="W22" i="31" s="1"/>
  <c r="S22" i="31"/>
  <c r="R22" i="31" s="1"/>
  <c r="P22" i="31"/>
  <c r="V21" i="31"/>
  <c r="W21" i="31" s="1"/>
  <c r="S21" i="31"/>
  <c r="P21" i="31"/>
  <c r="V20" i="31"/>
  <c r="W20" i="31"/>
  <c r="S20" i="31"/>
  <c r="P20" i="31"/>
  <c r="V19" i="31"/>
  <c r="S19" i="31"/>
  <c r="R19" i="31" s="1"/>
  <c r="P19" i="31"/>
  <c r="V18" i="31"/>
  <c r="W18" i="31" s="1"/>
  <c r="S18" i="31"/>
  <c r="P18" i="31"/>
  <c r="V17" i="31"/>
  <c r="S17" i="31"/>
  <c r="P17" i="31"/>
  <c r="V16" i="31"/>
  <c r="W16" i="31"/>
  <c r="S16" i="31"/>
  <c r="Z16" i="31" s="1"/>
  <c r="P16" i="31"/>
  <c r="V15" i="31"/>
  <c r="S15" i="31"/>
  <c r="R15" i="31" s="1"/>
  <c r="P15" i="31"/>
  <c r="W14" i="31"/>
  <c r="V14" i="31"/>
  <c r="S14" i="31"/>
  <c r="Z14" i="31" s="1"/>
  <c r="P14" i="31"/>
  <c r="V13" i="31"/>
  <c r="S13" i="31"/>
  <c r="P13" i="31"/>
  <c r="V12" i="31"/>
  <c r="W12" i="31"/>
  <c r="S12" i="31"/>
  <c r="P12" i="31"/>
  <c r="V11" i="31"/>
  <c r="W11" i="31" s="1"/>
  <c r="S11" i="31"/>
  <c r="Z11" i="31" s="1"/>
  <c r="P11" i="31"/>
  <c r="V10" i="31"/>
  <c r="W10" i="31" s="1"/>
  <c r="S10" i="31"/>
  <c r="P10" i="31"/>
  <c r="V9" i="31"/>
  <c r="W9" i="31" s="1"/>
  <c r="S9" i="31"/>
  <c r="P9" i="31"/>
  <c r="V8" i="31"/>
  <c r="W8" i="31"/>
  <c r="S8" i="31"/>
  <c r="R8" i="31" s="1"/>
  <c r="P8" i="31"/>
  <c r="V7" i="31"/>
  <c r="S7" i="31"/>
  <c r="P7" i="31"/>
  <c r="V6" i="31"/>
  <c r="W6" i="31" s="1"/>
  <c r="S6" i="31"/>
  <c r="R6" i="31" s="1"/>
  <c r="P6" i="31"/>
  <c r="V5" i="31"/>
  <c r="S5" i="31"/>
  <c r="R5" i="31" s="1"/>
  <c r="T5" i="31" s="1"/>
  <c r="P5" i="31"/>
  <c r="W4" i="31"/>
  <c r="V4" i="31"/>
  <c r="S4" i="31"/>
  <c r="P4" i="31"/>
  <c r="V3" i="31"/>
  <c r="W3" i="31" s="1"/>
  <c r="S3" i="31"/>
  <c r="P3" i="31"/>
  <c r="M38" i="32"/>
  <c r="L38" i="32"/>
  <c r="M37" i="32"/>
  <c r="M45" i="32" s="1"/>
  <c r="L37" i="32"/>
  <c r="L44" i="32"/>
  <c r="O36" i="32"/>
  <c r="O37" i="32" s="1"/>
  <c r="M36" i="32"/>
  <c r="L36" i="32"/>
  <c r="E36" i="32"/>
  <c r="V33" i="32"/>
  <c r="S33" i="32"/>
  <c r="P33" i="32"/>
  <c r="W32" i="32"/>
  <c r="V32" i="32"/>
  <c r="S32" i="32"/>
  <c r="P32" i="32"/>
  <c r="V31" i="32"/>
  <c r="S31" i="32"/>
  <c r="P31" i="32"/>
  <c r="V30" i="32"/>
  <c r="W30" i="32"/>
  <c r="S30" i="32"/>
  <c r="P30" i="32"/>
  <c r="V29" i="32"/>
  <c r="S29" i="32"/>
  <c r="P29" i="32"/>
  <c r="V28" i="32"/>
  <c r="W28" i="32"/>
  <c r="S28" i="32"/>
  <c r="R28" i="32" s="1"/>
  <c r="T28" i="32" s="1"/>
  <c r="AA28" i="32" s="1"/>
  <c r="P28" i="32"/>
  <c r="V27" i="32"/>
  <c r="S27" i="32"/>
  <c r="Z27" i="32" s="1"/>
  <c r="P27" i="32"/>
  <c r="V26" i="32"/>
  <c r="W26" i="32"/>
  <c r="S26" i="32"/>
  <c r="Z26" i="32" s="1"/>
  <c r="P26" i="32"/>
  <c r="V25" i="32"/>
  <c r="S25" i="32"/>
  <c r="P25" i="32"/>
  <c r="V24" i="32"/>
  <c r="W24" i="32" s="1"/>
  <c r="S24" i="32"/>
  <c r="R24" i="32" s="1"/>
  <c r="T24" i="32" s="1"/>
  <c r="AA24" i="32" s="1"/>
  <c r="P24" i="32"/>
  <c r="V23" i="32"/>
  <c r="S23" i="32"/>
  <c r="P23" i="32"/>
  <c r="V22" i="32"/>
  <c r="W22" i="32"/>
  <c r="S22" i="32"/>
  <c r="R22" i="32" s="1"/>
  <c r="T22" i="32" s="1"/>
  <c r="P22" i="32"/>
  <c r="V21" i="32"/>
  <c r="S21" i="32"/>
  <c r="P21" i="32"/>
  <c r="W20" i="32"/>
  <c r="V20" i="32"/>
  <c r="S20" i="32"/>
  <c r="P20" i="32"/>
  <c r="V19" i="32"/>
  <c r="W19" i="32" s="1"/>
  <c r="S19" i="32"/>
  <c r="P19" i="32"/>
  <c r="V18" i="32"/>
  <c r="W18" i="32"/>
  <c r="S18" i="32"/>
  <c r="Z18" i="32" s="1"/>
  <c r="P18" i="32"/>
  <c r="V17" i="32"/>
  <c r="S17" i="32"/>
  <c r="P17" i="32"/>
  <c r="V16" i="32"/>
  <c r="W16" i="32" s="1"/>
  <c r="S16" i="32"/>
  <c r="P16" i="32"/>
  <c r="V15" i="32"/>
  <c r="S15" i="32"/>
  <c r="P15" i="32"/>
  <c r="W14" i="32"/>
  <c r="V14" i="32"/>
  <c r="S14" i="32"/>
  <c r="P14" i="32"/>
  <c r="V13" i="32"/>
  <c r="W13" i="32" s="1"/>
  <c r="S13" i="32"/>
  <c r="P13" i="32"/>
  <c r="V12" i="32"/>
  <c r="W12" i="32"/>
  <c r="S12" i="32"/>
  <c r="P12" i="32"/>
  <c r="V11" i="32"/>
  <c r="W11" i="32" s="1"/>
  <c r="S11" i="32"/>
  <c r="P11" i="32"/>
  <c r="V10" i="32"/>
  <c r="W10" i="32"/>
  <c r="S10" i="32"/>
  <c r="Z10" i="32" s="1"/>
  <c r="P10" i="32"/>
  <c r="V9" i="32"/>
  <c r="S9" i="32"/>
  <c r="Z9" i="32" s="1"/>
  <c r="P9" i="32"/>
  <c r="V8" i="32"/>
  <c r="W8" i="32" s="1"/>
  <c r="S8" i="32"/>
  <c r="P8" i="32"/>
  <c r="V7" i="32"/>
  <c r="V36" i="32" s="1"/>
  <c r="S7" i="32"/>
  <c r="P7" i="32"/>
  <c r="V6" i="32"/>
  <c r="Z6" i="32" s="1"/>
  <c r="W6" i="32"/>
  <c r="S6" i="32"/>
  <c r="R6" i="32" s="1"/>
  <c r="T6" i="32" s="1"/>
  <c r="P6" i="32"/>
  <c r="V5" i="32"/>
  <c r="W5" i="32" s="1"/>
  <c r="S5" i="32"/>
  <c r="Z5" i="32" s="1"/>
  <c r="P5" i="32"/>
  <c r="V4" i="32"/>
  <c r="W4" i="32" s="1"/>
  <c r="S4" i="32"/>
  <c r="P4" i="32"/>
  <c r="V3" i="32"/>
  <c r="S3" i="32"/>
  <c r="P3" i="32"/>
  <c r="M38" i="33"/>
  <c r="L38" i="33"/>
  <c r="M37" i="33"/>
  <c r="L37" i="33"/>
  <c r="L44" i="33"/>
  <c r="O36" i="33"/>
  <c r="O37" i="33" s="1"/>
  <c r="M36" i="33"/>
  <c r="L36" i="33"/>
  <c r="E36" i="33"/>
  <c r="V33" i="33"/>
  <c r="S33" i="33"/>
  <c r="R33" i="33" s="1"/>
  <c r="P33" i="33"/>
  <c r="V32" i="33"/>
  <c r="S32" i="33"/>
  <c r="R32" i="33" s="1"/>
  <c r="P32" i="33"/>
  <c r="V31" i="33"/>
  <c r="W31" i="33" s="1"/>
  <c r="S31" i="33"/>
  <c r="P31" i="33"/>
  <c r="V30" i="33"/>
  <c r="W30" i="33" s="1"/>
  <c r="S30" i="33"/>
  <c r="R30" i="33" s="1"/>
  <c r="P30" i="33"/>
  <c r="V29" i="33"/>
  <c r="W29" i="33" s="1"/>
  <c r="S29" i="33"/>
  <c r="P29" i="33"/>
  <c r="V28" i="33"/>
  <c r="W28" i="33"/>
  <c r="S28" i="33"/>
  <c r="P28" i="33"/>
  <c r="V27" i="33"/>
  <c r="S27" i="33"/>
  <c r="P27" i="33"/>
  <c r="V26" i="33"/>
  <c r="W26" i="33" s="1"/>
  <c r="S26" i="33"/>
  <c r="P26" i="33"/>
  <c r="V25" i="33"/>
  <c r="S25" i="33"/>
  <c r="P25" i="33"/>
  <c r="V24" i="33"/>
  <c r="W24" i="33"/>
  <c r="S24" i="33"/>
  <c r="R24" i="33" s="1"/>
  <c r="P24" i="33"/>
  <c r="V23" i="33"/>
  <c r="W23" i="33" s="1"/>
  <c r="S23" i="33"/>
  <c r="Z23" i="33" s="1"/>
  <c r="P23" i="33"/>
  <c r="V22" i="33"/>
  <c r="W22" i="33"/>
  <c r="S22" i="33"/>
  <c r="R22" i="33" s="1"/>
  <c r="P22" i="33"/>
  <c r="V21" i="33"/>
  <c r="S21" i="33"/>
  <c r="Z21" i="33" s="1"/>
  <c r="P21" i="33"/>
  <c r="V20" i="33"/>
  <c r="W20" i="33"/>
  <c r="S20" i="33"/>
  <c r="R20" i="33" s="1"/>
  <c r="Y20" i="33" s="1"/>
  <c r="P20" i="33"/>
  <c r="V19" i="33"/>
  <c r="S19" i="33"/>
  <c r="Z19" i="33" s="1"/>
  <c r="P19" i="33"/>
  <c r="V18" i="33"/>
  <c r="W18" i="33" s="1"/>
  <c r="S18" i="33"/>
  <c r="Z18" i="33" s="1"/>
  <c r="P18" i="33"/>
  <c r="V17" i="33"/>
  <c r="W17" i="33" s="1"/>
  <c r="S17" i="33"/>
  <c r="P17" i="33"/>
  <c r="V16" i="33"/>
  <c r="W16" i="33"/>
  <c r="S16" i="33"/>
  <c r="R16" i="33" s="1"/>
  <c r="P16" i="33"/>
  <c r="V15" i="33"/>
  <c r="S15" i="33"/>
  <c r="R15" i="33" s="1"/>
  <c r="P15" i="33"/>
  <c r="W14" i="33"/>
  <c r="V14" i="33"/>
  <c r="S14" i="33"/>
  <c r="P14" i="33"/>
  <c r="V13" i="33"/>
  <c r="W13" i="33" s="1"/>
  <c r="S13" i="33"/>
  <c r="P13" i="33"/>
  <c r="V12" i="33"/>
  <c r="W12" i="33"/>
  <c r="S12" i="33"/>
  <c r="P12" i="33"/>
  <c r="V11" i="33"/>
  <c r="S11" i="33"/>
  <c r="Z11" i="33" s="1"/>
  <c r="P11" i="33"/>
  <c r="V10" i="33"/>
  <c r="W10" i="33" s="1"/>
  <c r="S10" i="33"/>
  <c r="Z10" i="33" s="1"/>
  <c r="P10" i="33"/>
  <c r="V9" i="33"/>
  <c r="W9" i="33" s="1"/>
  <c r="S9" i="33"/>
  <c r="P9" i="33"/>
  <c r="V8" i="33"/>
  <c r="W8" i="33" s="1"/>
  <c r="S8" i="33"/>
  <c r="P8" i="33"/>
  <c r="V7" i="33"/>
  <c r="S7" i="33"/>
  <c r="P7" i="33"/>
  <c r="V6" i="33"/>
  <c r="W6" i="33" s="1"/>
  <c r="S6" i="33"/>
  <c r="R6" i="33" s="1"/>
  <c r="P6" i="33"/>
  <c r="V5" i="33"/>
  <c r="S5" i="33"/>
  <c r="P5" i="33"/>
  <c r="V4" i="33"/>
  <c r="W4" i="33" s="1"/>
  <c r="S4" i="33"/>
  <c r="Z4" i="33" s="1"/>
  <c r="P4" i="33"/>
  <c r="V3" i="33"/>
  <c r="S3" i="33"/>
  <c r="Z3" i="33" s="1"/>
  <c r="P3" i="33"/>
  <c r="M38" i="34"/>
  <c r="L38" i="34"/>
  <c r="M37" i="34"/>
  <c r="M45" i="34"/>
  <c r="L37" i="34"/>
  <c r="L44" i="34" s="1"/>
  <c r="O36" i="34"/>
  <c r="O37" i="34"/>
  <c r="M36" i="34"/>
  <c r="L36" i="34"/>
  <c r="E36" i="34"/>
  <c r="V33" i="34"/>
  <c r="S33" i="34"/>
  <c r="P33" i="34"/>
  <c r="V32" i="34"/>
  <c r="W32" i="34" s="1"/>
  <c r="S32" i="34"/>
  <c r="P32" i="34"/>
  <c r="V31" i="34"/>
  <c r="W31" i="34" s="1"/>
  <c r="S31" i="34"/>
  <c r="P31" i="34"/>
  <c r="V30" i="34"/>
  <c r="W30" i="34"/>
  <c r="S30" i="34"/>
  <c r="Z30" i="34" s="1"/>
  <c r="P30" i="34"/>
  <c r="V29" i="34"/>
  <c r="S29" i="34"/>
  <c r="P29" i="34"/>
  <c r="V28" i="34"/>
  <c r="W28" i="34" s="1"/>
  <c r="S28" i="34"/>
  <c r="R28" i="34" s="1"/>
  <c r="P28" i="34"/>
  <c r="V27" i="34"/>
  <c r="S27" i="34"/>
  <c r="P27" i="34"/>
  <c r="V26" i="34"/>
  <c r="W26" i="34"/>
  <c r="S26" i="34"/>
  <c r="P26" i="34"/>
  <c r="V25" i="34"/>
  <c r="W25" i="34" s="1"/>
  <c r="S25" i="34"/>
  <c r="Z25" i="34" s="1"/>
  <c r="P25" i="34"/>
  <c r="V24" i="34"/>
  <c r="W24" i="34" s="1"/>
  <c r="S24" i="34"/>
  <c r="R24" i="34" s="1"/>
  <c r="T24" i="34" s="1"/>
  <c r="P24" i="34"/>
  <c r="V23" i="34"/>
  <c r="S23" i="34"/>
  <c r="P23" i="34"/>
  <c r="V22" i="34"/>
  <c r="W22" i="34"/>
  <c r="S22" i="34"/>
  <c r="R22" i="34" s="1"/>
  <c r="T22" i="34" s="1"/>
  <c r="P22" i="34"/>
  <c r="V21" i="34"/>
  <c r="S21" i="34"/>
  <c r="Z21" i="34" s="1"/>
  <c r="P21" i="34"/>
  <c r="W20" i="34"/>
  <c r="V20" i="34"/>
  <c r="S20" i="34"/>
  <c r="P20" i="34"/>
  <c r="V19" i="34"/>
  <c r="S19" i="34"/>
  <c r="R19" i="34" s="1"/>
  <c r="Y19" i="34" s="1"/>
  <c r="P19" i="34"/>
  <c r="V18" i="34"/>
  <c r="W18" i="34"/>
  <c r="S18" i="34"/>
  <c r="P18" i="34"/>
  <c r="V17" i="34"/>
  <c r="S17" i="34"/>
  <c r="P17" i="34"/>
  <c r="V16" i="34"/>
  <c r="W16" i="34" s="1"/>
  <c r="S16" i="34"/>
  <c r="P16" i="34"/>
  <c r="V15" i="34"/>
  <c r="W15" i="34" s="1"/>
  <c r="S15" i="34"/>
  <c r="P15" i="34"/>
  <c r="V14" i="34"/>
  <c r="W14" i="34" s="1"/>
  <c r="S14" i="34"/>
  <c r="Z14" i="34" s="1"/>
  <c r="P14" i="34"/>
  <c r="V13" i="34"/>
  <c r="S13" i="34"/>
  <c r="Z13" i="34" s="1"/>
  <c r="P13" i="34"/>
  <c r="V12" i="34"/>
  <c r="W12" i="34" s="1"/>
  <c r="S12" i="34"/>
  <c r="Z12" i="34" s="1"/>
  <c r="P12" i="34"/>
  <c r="V11" i="34"/>
  <c r="W11" i="34" s="1"/>
  <c r="S11" i="34"/>
  <c r="R11" i="34" s="1"/>
  <c r="Y11" i="34" s="1"/>
  <c r="P11" i="34"/>
  <c r="V10" i="34"/>
  <c r="W10" i="34"/>
  <c r="S10" i="34"/>
  <c r="P10" i="34"/>
  <c r="V9" i="34"/>
  <c r="S9" i="34"/>
  <c r="P9" i="34"/>
  <c r="V8" i="34"/>
  <c r="W8" i="34"/>
  <c r="S8" i="34"/>
  <c r="R8" i="34" s="1"/>
  <c r="P8" i="34"/>
  <c r="V7" i="34"/>
  <c r="S7" i="34"/>
  <c r="P7" i="34"/>
  <c r="V6" i="34"/>
  <c r="W6" i="34"/>
  <c r="S6" i="34"/>
  <c r="R6" i="34" s="1"/>
  <c r="T6" i="34" s="1"/>
  <c r="AA6" i="34" s="1"/>
  <c r="P6" i="34"/>
  <c r="V5" i="34"/>
  <c r="S5" i="34"/>
  <c r="Z5" i="34" s="1"/>
  <c r="P5" i="34"/>
  <c r="W4" i="34"/>
  <c r="V4" i="34"/>
  <c r="S4" i="34"/>
  <c r="Z4" i="34" s="1"/>
  <c r="P4" i="34"/>
  <c r="V3" i="34"/>
  <c r="W3" i="34" s="1"/>
  <c r="S3" i="34"/>
  <c r="P3" i="34"/>
  <c r="M38" i="35"/>
  <c r="L38" i="35"/>
  <c r="M37" i="35"/>
  <c r="M45" i="35"/>
  <c r="L37" i="35"/>
  <c r="L44" i="35"/>
  <c r="O36" i="35"/>
  <c r="O37" i="35"/>
  <c r="M36" i="35"/>
  <c r="L36" i="35"/>
  <c r="E36" i="35"/>
  <c r="V33" i="35"/>
  <c r="S33" i="35"/>
  <c r="Z33" i="35" s="1"/>
  <c r="P33" i="35"/>
  <c r="V32" i="35"/>
  <c r="W32" i="35"/>
  <c r="S32" i="35"/>
  <c r="R32" i="35" s="1"/>
  <c r="T32" i="35" s="1"/>
  <c r="AA32" i="35" s="1"/>
  <c r="P32" i="35"/>
  <c r="V31" i="35"/>
  <c r="S31" i="35"/>
  <c r="Z31" i="35" s="1"/>
  <c r="P31" i="35"/>
  <c r="W30" i="35"/>
  <c r="V30" i="35"/>
  <c r="S30" i="35"/>
  <c r="R30" i="35" s="1"/>
  <c r="P30" i="35"/>
  <c r="V29" i="35"/>
  <c r="W29" i="35" s="1"/>
  <c r="S29" i="35"/>
  <c r="R29" i="35" s="1"/>
  <c r="P29" i="35"/>
  <c r="V28" i="35"/>
  <c r="W28" i="35"/>
  <c r="S28" i="35"/>
  <c r="P28" i="35"/>
  <c r="V27" i="35"/>
  <c r="S27" i="35"/>
  <c r="P27" i="35"/>
  <c r="V26" i="35"/>
  <c r="W26" i="35"/>
  <c r="S26" i="35"/>
  <c r="P26" i="35"/>
  <c r="V25" i="35"/>
  <c r="S25" i="35"/>
  <c r="P25" i="35"/>
  <c r="V24" i="35"/>
  <c r="W24" i="35"/>
  <c r="S24" i="35"/>
  <c r="P24" i="35"/>
  <c r="V23" i="35"/>
  <c r="S23" i="35"/>
  <c r="P23" i="35"/>
  <c r="V22" i="35"/>
  <c r="W22" i="35" s="1"/>
  <c r="S22" i="35"/>
  <c r="R22" i="35" s="1"/>
  <c r="T22" i="35" s="1"/>
  <c r="P22" i="35"/>
  <c r="V21" i="35"/>
  <c r="W21" i="35" s="1"/>
  <c r="S21" i="35"/>
  <c r="R21" i="35" s="1"/>
  <c r="P21" i="35"/>
  <c r="V20" i="35"/>
  <c r="W20" i="35" s="1"/>
  <c r="S20" i="35"/>
  <c r="P20" i="35"/>
  <c r="V19" i="35"/>
  <c r="S19" i="35"/>
  <c r="Z19" i="35" s="1"/>
  <c r="P19" i="35"/>
  <c r="V18" i="35"/>
  <c r="W18" i="35"/>
  <c r="S18" i="35"/>
  <c r="Z18" i="35" s="1"/>
  <c r="P18" i="35"/>
  <c r="V17" i="35"/>
  <c r="W17" i="35" s="1"/>
  <c r="S17" i="35"/>
  <c r="Z17" i="35" s="1"/>
  <c r="P17" i="35"/>
  <c r="V16" i="35"/>
  <c r="W16" i="35" s="1"/>
  <c r="S16" i="35"/>
  <c r="R16" i="35" s="1"/>
  <c r="P16" i="35"/>
  <c r="V15" i="35"/>
  <c r="S15" i="35"/>
  <c r="Z15" i="35" s="1"/>
  <c r="P15" i="35"/>
  <c r="V14" i="35"/>
  <c r="W14" i="35" s="1"/>
  <c r="S14" i="35"/>
  <c r="Z14" i="35" s="1"/>
  <c r="P14" i="35"/>
  <c r="V13" i="35"/>
  <c r="S13" i="35"/>
  <c r="P13" i="35"/>
  <c r="V12" i="35"/>
  <c r="W12" i="35" s="1"/>
  <c r="S12" i="35"/>
  <c r="P12" i="35"/>
  <c r="V11" i="35"/>
  <c r="W11" i="35" s="1"/>
  <c r="S11" i="35"/>
  <c r="P11" i="35"/>
  <c r="V10" i="35"/>
  <c r="W10" i="35" s="1"/>
  <c r="S10" i="35"/>
  <c r="R10" i="35" s="1"/>
  <c r="T10" i="35" s="1"/>
  <c r="AA10" i="35" s="1"/>
  <c r="P10" i="35"/>
  <c r="V9" i="35"/>
  <c r="S9" i="35"/>
  <c r="Z9" i="35" s="1"/>
  <c r="P9" i="35"/>
  <c r="V8" i="35"/>
  <c r="W8" i="35" s="1"/>
  <c r="S8" i="35"/>
  <c r="P8" i="35"/>
  <c r="V7" i="35"/>
  <c r="W7" i="35" s="1"/>
  <c r="S7" i="35"/>
  <c r="P7" i="35"/>
  <c r="V6" i="35"/>
  <c r="W6" i="35"/>
  <c r="S6" i="35"/>
  <c r="P6" i="35"/>
  <c r="V5" i="35"/>
  <c r="S5" i="35"/>
  <c r="Z5" i="35" s="1"/>
  <c r="P5" i="35"/>
  <c r="V4" i="35"/>
  <c r="W4" i="35"/>
  <c r="S4" i="35"/>
  <c r="P4" i="35"/>
  <c r="V3" i="35"/>
  <c r="W3" i="35" s="1"/>
  <c r="S3" i="35"/>
  <c r="Z3" i="35" s="1"/>
  <c r="P3" i="35"/>
  <c r="M38" i="36"/>
  <c r="L38" i="36"/>
  <c r="M37" i="36"/>
  <c r="M44" i="36" s="1"/>
  <c r="M45" i="36"/>
  <c r="L37" i="36"/>
  <c r="L44" i="36"/>
  <c r="O36" i="36"/>
  <c r="O37" i="36"/>
  <c r="M36" i="36"/>
  <c r="L36" i="36"/>
  <c r="E36" i="36"/>
  <c r="V33" i="36"/>
  <c r="W33" i="36" s="1"/>
  <c r="S33" i="36"/>
  <c r="P33" i="36"/>
  <c r="V32" i="36"/>
  <c r="W32" i="36"/>
  <c r="S32" i="36"/>
  <c r="P32" i="36"/>
  <c r="V31" i="36"/>
  <c r="W31" i="36" s="1"/>
  <c r="S31" i="36"/>
  <c r="P31" i="36"/>
  <c r="V30" i="36"/>
  <c r="W30" i="36" s="1"/>
  <c r="S30" i="36"/>
  <c r="P30" i="36"/>
  <c r="V29" i="36"/>
  <c r="S29" i="36"/>
  <c r="P29" i="36"/>
  <c r="V28" i="36"/>
  <c r="W28" i="36"/>
  <c r="S28" i="36"/>
  <c r="Z28" i="36" s="1"/>
  <c r="P28" i="36"/>
  <c r="V27" i="36"/>
  <c r="S27" i="36"/>
  <c r="Z27" i="36" s="1"/>
  <c r="P27" i="36"/>
  <c r="V26" i="36"/>
  <c r="S26" i="36"/>
  <c r="P26" i="36"/>
  <c r="V25" i="36"/>
  <c r="W25" i="36" s="1"/>
  <c r="S25" i="36"/>
  <c r="P25" i="36"/>
  <c r="V24" i="36"/>
  <c r="W24" i="36"/>
  <c r="S24" i="36"/>
  <c r="P24" i="36"/>
  <c r="V23" i="36"/>
  <c r="S23" i="36"/>
  <c r="P23" i="36"/>
  <c r="V22" i="36"/>
  <c r="W22" i="36" s="1"/>
  <c r="S22" i="36"/>
  <c r="Z22" i="36" s="1"/>
  <c r="P22" i="36"/>
  <c r="V21" i="36"/>
  <c r="S21" i="36"/>
  <c r="Z21" i="36" s="1"/>
  <c r="P21" i="36"/>
  <c r="V20" i="36"/>
  <c r="W20" i="36" s="1"/>
  <c r="S20" i="36"/>
  <c r="P20" i="36"/>
  <c r="V19" i="36"/>
  <c r="S19" i="36"/>
  <c r="P19" i="36"/>
  <c r="V18" i="36"/>
  <c r="S18" i="36"/>
  <c r="Z18" i="36" s="1"/>
  <c r="P18" i="36"/>
  <c r="V17" i="36"/>
  <c r="W17" i="36" s="1"/>
  <c r="S17" i="36"/>
  <c r="P17" i="36"/>
  <c r="V16" i="36"/>
  <c r="W16" i="36"/>
  <c r="S16" i="36"/>
  <c r="P16" i="36"/>
  <c r="V15" i="36"/>
  <c r="S15" i="36"/>
  <c r="P15" i="36"/>
  <c r="V14" i="36"/>
  <c r="W14" i="36" s="1"/>
  <c r="S14" i="36"/>
  <c r="Z14" i="36" s="1"/>
  <c r="P14" i="36"/>
  <c r="V13" i="36"/>
  <c r="W13" i="36" s="1"/>
  <c r="S13" i="36"/>
  <c r="P13" i="36"/>
  <c r="V12" i="36"/>
  <c r="S12" i="36"/>
  <c r="P12" i="36"/>
  <c r="V11" i="36"/>
  <c r="W11" i="36" s="1"/>
  <c r="S11" i="36"/>
  <c r="R11" i="36" s="1"/>
  <c r="P11" i="36"/>
  <c r="V10" i="36"/>
  <c r="S10" i="36"/>
  <c r="Z10" i="36" s="1"/>
  <c r="P10" i="36"/>
  <c r="V9" i="36"/>
  <c r="S9" i="36"/>
  <c r="P9" i="36"/>
  <c r="V8" i="36"/>
  <c r="W8" i="36" s="1"/>
  <c r="S8" i="36"/>
  <c r="P8" i="36"/>
  <c r="V7" i="36"/>
  <c r="S7" i="36"/>
  <c r="P7" i="36"/>
  <c r="V6" i="36"/>
  <c r="W6" i="36" s="1"/>
  <c r="S6" i="36"/>
  <c r="P6" i="36"/>
  <c r="V5" i="36"/>
  <c r="S5" i="36"/>
  <c r="P5" i="36"/>
  <c r="V4" i="36"/>
  <c r="W4" i="36"/>
  <c r="S4" i="36"/>
  <c r="Z4" i="36" s="1"/>
  <c r="P4" i="36"/>
  <c r="V3" i="36"/>
  <c r="S3" i="36"/>
  <c r="Z3" i="36" s="1"/>
  <c r="P3" i="36"/>
  <c r="M38" i="37"/>
  <c r="L38" i="37"/>
  <c r="M37" i="37"/>
  <c r="M44" i="37" s="1"/>
  <c r="M45" i="37"/>
  <c r="L37" i="37"/>
  <c r="L44" i="37"/>
  <c r="O36" i="37"/>
  <c r="O37" i="37"/>
  <c r="M36" i="37"/>
  <c r="L36" i="37"/>
  <c r="E36" i="37"/>
  <c r="V33" i="37"/>
  <c r="S33" i="37"/>
  <c r="R33" i="37" s="1"/>
  <c r="P33" i="37"/>
  <c r="V32" i="37"/>
  <c r="W32" i="37"/>
  <c r="S32" i="37"/>
  <c r="P32" i="37"/>
  <c r="V31" i="37"/>
  <c r="S31" i="37"/>
  <c r="P31" i="37"/>
  <c r="V30" i="37"/>
  <c r="W30" i="37" s="1"/>
  <c r="S30" i="37"/>
  <c r="P30" i="37"/>
  <c r="V29" i="37"/>
  <c r="W29" i="37" s="1"/>
  <c r="S29" i="37"/>
  <c r="Z29" i="37" s="1"/>
  <c r="P29" i="37"/>
  <c r="V28" i="37"/>
  <c r="W28" i="37"/>
  <c r="S28" i="37"/>
  <c r="Z28" i="37" s="1"/>
  <c r="P28" i="37"/>
  <c r="V27" i="37"/>
  <c r="S27" i="37"/>
  <c r="P27" i="37"/>
  <c r="V26" i="37"/>
  <c r="W26" i="37" s="1"/>
  <c r="S26" i="37"/>
  <c r="R26" i="37" s="1"/>
  <c r="P26" i="37"/>
  <c r="V25" i="37"/>
  <c r="S25" i="37"/>
  <c r="P25" i="37"/>
  <c r="V24" i="37"/>
  <c r="W24" i="37"/>
  <c r="S24" i="37"/>
  <c r="P24" i="37"/>
  <c r="V23" i="37"/>
  <c r="S23" i="37"/>
  <c r="Z23" i="37" s="1"/>
  <c r="P23" i="37"/>
  <c r="V22" i="37"/>
  <c r="W22" i="37"/>
  <c r="S22" i="37"/>
  <c r="Z22" i="37" s="1"/>
  <c r="P22" i="37"/>
  <c r="V21" i="37"/>
  <c r="S21" i="37"/>
  <c r="Z21" i="37" s="1"/>
  <c r="P21" i="37"/>
  <c r="V20" i="37"/>
  <c r="W20" i="37" s="1"/>
  <c r="S20" i="37"/>
  <c r="P20" i="37"/>
  <c r="V19" i="37"/>
  <c r="W19" i="37" s="1"/>
  <c r="S19" i="37"/>
  <c r="P19" i="37"/>
  <c r="V18" i="37"/>
  <c r="S18" i="37"/>
  <c r="Z18" i="37" s="1"/>
  <c r="P18" i="37"/>
  <c r="V17" i="37"/>
  <c r="S17" i="37"/>
  <c r="Z17" i="37" s="1"/>
  <c r="P17" i="37"/>
  <c r="V16" i="37"/>
  <c r="W16" i="37"/>
  <c r="S16" i="37"/>
  <c r="P16" i="37"/>
  <c r="V15" i="37"/>
  <c r="S15" i="37"/>
  <c r="Z15" i="37" s="1"/>
  <c r="P15" i="37"/>
  <c r="W14" i="37"/>
  <c r="V14" i="37"/>
  <c r="S14" i="37"/>
  <c r="Z14" i="37" s="1"/>
  <c r="P14" i="37"/>
  <c r="V13" i="37"/>
  <c r="S13" i="37"/>
  <c r="P13" i="37"/>
  <c r="V12" i="37"/>
  <c r="W12" i="37"/>
  <c r="S12" i="37"/>
  <c r="P12" i="37"/>
  <c r="V11" i="37"/>
  <c r="W11" i="37" s="1"/>
  <c r="S11" i="37"/>
  <c r="P11" i="37"/>
  <c r="V10" i="37"/>
  <c r="S10" i="37"/>
  <c r="R10" i="37" s="1"/>
  <c r="T10" i="37" s="1"/>
  <c r="P10" i="37"/>
  <c r="V9" i="37"/>
  <c r="S9" i="37"/>
  <c r="Z9" i="37" s="1"/>
  <c r="P9" i="37"/>
  <c r="V8" i="37"/>
  <c r="W8" i="37" s="1"/>
  <c r="S8" i="37"/>
  <c r="P8" i="37"/>
  <c r="V7" i="37"/>
  <c r="S7" i="37"/>
  <c r="P7" i="37"/>
  <c r="V6" i="37"/>
  <c r="W6" i="37"/>
  <c r="S6" i="37"/>
  <c r="P6" i="37"/>
  <c r="V5" i="37"/>
  <c r="W5" i="37" s="1"/>
  <c r="S5" i="37"/>
  <c r="P5" i="37"/>
  <c r="V4" i="37"/>
  <c r="W4" i="37" s="1"/>
  <c r="S4" i="37"/>
  <c r="P4" i="37"/>
  <c r="V3" i="37"/>
  <c r="S3" i="37"/>
  <c r="P3" i="37"/>
  <c r="M38" i="38"/>
  <c r="L38" i="38"/>
  <c r="M37" i="38"/>
  <c r="M45" i="38"/>
  <c r="L37" i="38"/>
  <c r="L44" i="38"/>
  <c r="O36" i="38"/>
  <c r="O37" i="38"/>
  <c r="M36" i="38"/>
  <c r="L36" i="38"/>
  <c r="E36" i="38"/>
  <c r="V33" i="38"/>
  <c r="W33" i="38" s="1"/>
  <c r="S33" i="38"/>
  <c r="R33" i="38" s="1"/>
  <c r="Y33" i="38" s="1"/>
  <c r="P33" i="38"/>
  <c r="V32" i="38"/>
  <c r="W32" i="38"/>
  <c r="S32" i="38"/>
  <c r="R32" i="38" s="1"/>
  <c r="T32" i="38" s="1"/>
  <c r="AA32" i="38" s="1"/>
  <c r="P32" i="38"/>
  <c r="V31" i="38"/>
  <c r="S31" i="38"/>
  <c r="Z31" i="38" s="1"/>
  <c r="P31" i="38"/>
  <c r="W30" i="38"/>
  <c r="V30" i="38"/>
  <c r="S30" i="38"/>
  <c r="Z30" i="38" s="1"/>
  <c r="P30" i="38"/>
  <c r="V29" i="38"/>
  <c r="W29" i="38" s="1"/>
  <c r="S29" i="38"/>
  <c r="P29" i="38"/>
  <c r="V28" i="38"/>
  <c r="W28" i="38"/>
  <c r="S28" i="38"/>
  <c r="Z28" i="38" s="1"/>
  <c r="P28" i="38"/>
  <c r="V27" i="38"/>
  <c r="S27" i="38"/>
  <c r="Z27" i="38" s="1"/>
  <c r="P27" i="38"/>
  <c r="V26" i="38"/>
  <c r="S26" i="38"/>
  <c r="R26" i="38" s="1"/>
  <c r="T26" i="38" s="1"/>
  <c r="AA26" i="38" s="1"/>
  <c r="P26" i="38"/>
  <c r="V25" i="38"/>
  <c r="S25" i="38"/>
  <c r="P25" i="38"/>
  <c r="V24" i="38"/>
  <c r="W24" i="38" s="1"/>
  <c r="S24" i="38"/>
  <c r="P24" i="38"/>
  <c r="V23" i="38"/>
  <c r="S23" i="38"/>
  <c r="P23" i="38"/>
  <c r="V22" i="38"/>
  <c r="W22" i="38" s="1"/>
  <c r="S22" i="38"/>
  <c r="P22" i="38"/>
  <c r="V21" i="38"/>
  <c r="S21" i="38"/>
  <c r="P21" i="38"/>
  <c r="V20" i="38"/>
  <c r="W20" i="38" s="1"/>
  <c r="S20" i="38"/>
  <c r="P20" i="38"/>
  <c r="V19" i="38"/>
  <c r="S19" i="38"/>
  <c r="P19" i="38"/>
  <c r="V18" i="38"/>
  <c r="S18" i="38"/>
  <c r="P18" i="38"/>
  <c r="V17" i="38"/>
  <c r="S17" i="38"/>
  <c r="P17" i="38"/>
  <c r="V16" i="38"/>
  <c r="W16" i="38"/>
  <c r="S16" i="38"/>
  <c r="P16" i="38"/>
  <c r="V15" i="38"/>
  <c r="S15" i="38"/>
  <c r="P15" i="38"/>
  <c r="V14" i="38"/>
  <c r="W14" i="38" s="1"/>
  <c r="S14" i="38"/>
  <c r="P14" i="38"/>
  <c r="V13" i="38"/>
  <c r="W13" i="38" s="1"/>
  <c r="S13" i="38"/>
  <c r="P13" i="38"/>
  <c r="V12" i="38"/>
  <c r="W12" i="38"/>
  <c r="S12" i="38"/>
  <c r="R12" i="38" s="1"/>
  <c r="Y12" i="38" s="1"/>
  <c r="P12" i="38"/>
  <c r="V11" i="38"/>
  <c r="W11" i="38" s="1"/>
  <c r="S11" i="38"/>
  <c r="P11" i="38"/>
  <c r="V10" i="38"/>
  <c r="S10" i="38"/>
  <c r="Z10" i="38" s="1"/>
  <c r="P10" i="38"/>
  <c r="V9" i="38"/>
  <c r="S9" i="38"/>
  <c r="P9" i="38"/>
  <c r="V8" i="38"/>
  <c r="W8" i="38" s="1"/>
  <c r="S8" i="38"/>
  <c r="R8" i="38" s="1"/>
  <c r="T8" i="38" s="1"/>
  <c r="AA8" i="38" s="1"/>
  <c r="P8" i="38"/>
  <c r="V7" i="38"/>
  <c r="S7" i="38"/>
  <c r="P7" i="38"/>
  <c r="V6" i="38"/>
  <c r="W6" i="38" s="1"/>
  <c r="W36" i="38" s="1"/>
  <c r="S6" i="38"/>
  <c r="P6" i="38"/>
  <c r="V5" i="38"/>
  <c r="S5" i="38"/>
  <c r="Z5" i="38" s="1"/>
  <c r="P5" i="38"/>
  <c r="V4" i="38"/>
  <c r="W4" i="38" s="1"/>
  <c r="S4" i="38"/>
  <c r="R4" i="38" s="1"/>
  <c r="P4" i="38"/>
  <c r="V3" i="38"/>
  <c r="S3" i="38"/>
  <c r="R3" i="38" s="1"/>
  <c r="P3" i="38"/>
  <c r="M38" i="39"/>
  <c r="L38" i="39"/>
  <c r="M37" i="39"/>
  <c r="M45" i="39" s="1"/>
  <c r="L37" i="39"/>
  <c r="L44" i="39" s="1"/>
  <c r="L45" i="39"/>
  <c r="O36" i="39"/>
  <c r="O37" i="39" s="1"/>
  <c r="M36" i="39"/>
  <c r="L36" i="39"/>
  <c r="E36" i="39"/>
  <c r="V33" i="39"/>
  <c r="S33" i="39"/>
  <c r="Z33" i="39" s="1"/>
  <c r="P33" i="39"/>
  <c r="V32" i="39"/>
  <c r="W32" i="39" s="1"/>
  <c r="S32" i="39"/>
  <c r="P32" i="39"/>
  <c r="V31" i="39"/>
  <c r="S31" i="39"/>
  <c r="P31" i="39"/>
  <c r="V30" i="39"/>
  <c r="W30" i="39"/>
  <c r="S30" i="39"/>
  <c r="P30" i="39"/>
  <c r="V29" i="39"/>
  <c r="S29" i="39"/>
  <c r="P29" i="39"/>
  <c r="V28" i="39"/>
  <c r="W28" i="39" s="1"/>
  <c r="S28" i="39"/>
  <c r="P28" i="39"/>
  <c r="V27" i="39"/>
  <c r="W27" i="39" s="1"/>
  <c r="S27" i="39"/>
  <c r="P27" i="39"/>
  <c r="V26" i="39"/>
  <c r="S26" i="39"/>
  <c r="Z26" i="39" s="1"/>
  <c r="P26" i="39"/>
  <c r="V25" i="39"/>
  <c r="S25" i="39"/>
  <c r="R25" i="39" s="1"/>
  <c r="Y25" i="39" s="1"/>
  <c r="P25" i="39"/>
  <c r="V24" i="39"/>
  <c r="W24" i="39"/>
  <c r="S24" i="39"/>
  <c r="P24" i="39"/>
  <c r="V23" i="39"/>
  <c r="S23" i="39"/>
  <c r="P23" i="39"/>
  <c r="V22" i="39"/>
  <c r="W22" i="39" s="1"/>
  <c r="S22" i="39"/>
  <c r="P22" i="39"/>
  <c r="V21" i="39"/>
  <c r="S21" i="39"/>
  <c r="P21" i="39"/>
  <c r="V20" i="39"/>
  <c r="W20" i="39"/>
  <c r="S20" i="39"/>
  <c r="Z20" i="39" s="1"/>
  <c r="P20" i="39"/>
  <c r="V19" i="39"/>
  <c r="S19" i="39"/>
  <c r="Z19" i="39" s="1"/>
  <c r="P19" i="39"/>
  <c r="V18" i="39"/>
  <c r="S18" i="39"/>
  <c r="P18" i="39"/>
  <c r="V17" i="39"/>
  <c r="S17" i="39"/>
  <c r="P17" i="39"/>
  <c r="V16" i="39"/>
  <c r="W16" i="39" s="1"/>
  <c r="S16" i="39"/>
  <c r="P16" i="39"/>
  <c r="V15" i="39"/>
  <c r="W15" i="39" s="1"/>
  <c r="S15" i="39"/>
  <c r="P15" i="39"/>
  <c r="V14" i="39"/>
  <c r="W14" i="39"/>
  <c r="S14" i="39"/>
  <c r="Z14" i="39" s="1"/>
  <c r="P14" i="39"/>
  <c r="V13" i="39"/>
  <c r="S13" i="39"/>
  <c r="P13" i="39"/>
  <c r="V12" i="39"/>
  <c r="W12" i="39" s="1"/>
  <c r="S12" i="39"/>
  <c r="Z12" i="39" s="1"/>
  <c r="P12" i="39"/>
  <c r="V11" i="39"/>
  <c r="W11" i="39" s="1"/>
  <c r="S11" i="39"/>
  <c r="P11" i="39"/>
  <c r="V10" i="39"/>
  <c r="S10" i="39"/>
  <c r="Z10" i="39" s="1"/>
  <c r="P10" i="39"/>
  <c r="V9" i="39"/>
  <c r="S9" i="39"/>
  <c r="Z9" i="39" s="1"/>
  <c r="P9" i="39"/>
  <c r="V8" i="39"/>
  <c r="W8" i="39"/>
  <c r="S8" i="39"/>
  <c r="P8" i="39"/>
  <c r="V7" i="39"/>
  <c r="S7" i="39"/>
  <c r="Z7" i="39" s="1"/>
  <c r="P7" i="39"/>
  <c r="V6" i="39"/>
  <c r="W6" i="39" s="1"/>
  <c r="S6" i="39"/>
  <c r="Z6" i="39" s="1"/>
  <c r="P6" i="39"/>
  <c r="V5" i="39"/>
  <c r="W5" i="39" s="1"/>
  <c r="S5" i="39"/>
  <c r="R5" i="39" s="1"/>
  <c r="P5" i="39"/>
  <c r="V4" i="39"/>
  <c r="W4" i="39"/>
  <c r="S4" i="39"/>
  <c r="R4" i="39" s="1"/>
  <c r="Y4" i="39" s="1"/>
  <c r="P4" i="39"/>
  <c r="V3" i="39"/>
  <c r="S3" i="39"/>
  <c r="P3" i="39"/>
  <c r="M38" i="40"/>
  <c r="L38" i="40"/>
  <c r="M37" i="40"/>
  <c r="M45" i="40"/>
  <c r="L37" i="40"/>
  <c r="L45" i="40" s="1"/>
  <c r="L44" i="40"/>
  <c r="O36" i="40"/>
  <c r="O37" i="40"/>
  <c r="M36" i="40"/>
  <c r="L36" i="40"/>
  <c r="E36" i="40"/>
  <c r="V33" i="40"/>
  <c r="S33" i="40"/>
  <c r="R33" i="40" s="1"/>
  <c r="P33" i="40"/>
  <c r="V32" i="40"/>
  <c r="W32" i="40"/>
  <c r="S32" i="40"/>
  <c r="P32" i="40"/>
  <c r="V31" i="40"/>
  <c r="S31" i="40"/>
  <c r="Z31" i="40" s="1"/>
  <c r="P31" i="40"/>
  <c r="W30" i="40"/>
  <c r="V30" i="40"/>
  <c r="S30" i="40"/>
  <c r="P30" i="40"/>
  <c r="V29" i="40"/>
  <c r="S29" i="40"/>
  <c r="P29" i="40"/>
  <c r="V28" i="40"/>
  <c r="W28" i="40"/>
  <c r="S28" i="40"/>
  <c r="P28" i="40"/>
  <c r="V27" i="40"/>
  <c r="S27" i="40"/>
  <c r="P27" i="40"/>
  <c r="V26" i="40"/>
  <c r="S26" i="40"/>
  <c r="P26" i="40"/>
  <c r="V25" i="40"/>
  <c r="S25" i="40"/>
  <c r="P25" i="40"/>
  <c r="V24" i="40"/>
  <c r="W24" i="40" s="1"/>
  <c r="S24" i="40"/>
  <c r="P24" i="40"/>
  <c r="V23" i="40"/>
  <c r="Y23" i="40" s="1"/>
  <c r="S23" i="40"/>
  <c r="P23" i="40"/>
  <c r="V22" i="40"/>
  <c r="W22" i="40" s="1"/>
  <c r="S22" i="40"/>
  <c r="P22" i="40"/>
  <c r="V21" i="40"/>
  <c r="S21" i="40"/>
  <c r="P21" i="40"/>
  <c r="V20" i="40"/>
  <c r="W20" i="40"/>
  <c r="S20" i="40"/>
  <c r="P20" i="40"/>
  <c r="V19" i="40"/>
  <c r="S19" i="40"/>
  <c r="Z19" i="40" s="1"/>
  <c r="P19" i="40"/>
  <c r="V18" i="40"/>
  <c r="S18" i="40"/>
  <c r="Z18" i="40" s="1"/>
  <c r="P18" i="40"/>
  <c r="V17" i="40"/>
  <c r="S17" i="40"/>
  <c r="R17" i="40" s="1"/>
  <c r="T17" i="40" s="1"/>
  <c r="P17" i="40"/>
  <c r="V16" i="40"/>
  <c r="W16" i="40"/>
  <c r="S16" i="40"/>
  <c r="P16" i="40"/>
  <c r="V15" i="40"/>
  <c r="S15" i="40"/>
  <c r="P15" i="40"/>
  <c r="V14" i="40"/>
  <c r="W14" i="40"/>
  <c r="S14" i="40"/>
  <c r="Z14" i="40" s="1"/>
  <c r="P14" i="40"/>
  <c r="V13" i="40"/>
  <c r="S13" i="40"/>
  <c r="P13" i="40"/>
  <c r="V12" i="40"/>
  <c r="W12" i="40"/>
  <c r="S12" i="40"/>
  <c r="Z12" i="40" s="1"/>
  <c r="P12" i="40"/>
  <c r="V11" i="40"/>
  <c r="S11" i="40"/>
  <c r="Z11" i="40" s="1"/>
  <c r="P11" i="40"/>
  <c r="V10" i="40"/>
  <c r="W10" i="40" s="1"/>
  <c r="S10" i="40"/>
  <c r="P10" i="40"/>
  <c r="V9" i="40"/>
  <c r="S9" i="40"/>
  <c r="P9" i="40"/>
  <c r="V8" i="40"/>
  <c r="W8" i="40"/>
  <c r="S8" i="40"/>
  <c r="Z8" i="40" s="1"/>
  <c r="P8" i="40"/>
  <c r="V7" i="40"/>
  <c r="W7" i="40" s="1"/>
  <c r="S7" i="40"/>
  <c r="P7" i="40"/>
  <c r="V6" i="40"/>
  <c r="W6" i="40"/>
  <c r="S6" i="40"/>
  <c r="Z6" i="40" s="1"/>
  <c r="P6" i="40"/>
  <c r="V5" i="40"/>
  <c r="S5" i="40"/>
  <c r="Z5" i="40" s="1"/>
  <c r="P5" i="40"/>
  <c r="V4" i="40"/>
  <c r="W4" i="40" s="1"/>
  <c r="W36" i="40" s="1"/>
  <c r="S4" i="40"/>
  <c r="P4" i="40"/>
  <c r="V3" i="40"/>
  <c r="S3" i="40"/>
  <c r="R3" i="40" s="1"/>
  <c r="P3" i="40"/>
  <c r="L44" i="41"/>
  <c r="M38" i="41"/>
  <c r="L38" i="41"/>
  <c r="M37" i="41"/>
  <c r="M45" i="41" s="1"/>
  <c r="L37" i="41"/>
  <c r="L45" i="41"/>
  <c r="O36" i="41"/>
  <c r="O37" i="41" s="1"/>
  <c r="M36" i="41"/>
  <c r="L36" i="41"/>
  <c r="E36" i="41"/>
  <c r="V33" i="41"/>
  <c r="S33" i="41"/>
  <c r="P33" i="41"/>
  <c r="V32" i="41"/>
  <c r="W32" i="41" s="1"/>
  <c r="S32" i="41"/>
  <c r="P32" i="41"/>
  <c r="V31" i="41"/>
  <c r="W31" i="41" s="1"/>
  <c r="S31" i="41"/>
  <c r="P31" i="41"/>
  <c r="V30" i="41"/>
  <c r="S30" i="41"/>
  <c r="P30" i="41"/>
  <c r="V29" i="41"/>
  <c r="S29" i="41"/>
  <c r="Z29" i="41" s="1"/>
  <c r="P29" i="41"/>
  <c r="V28" i="41"/>
  <c r="W28" i="41" s="1"/>
  <c r="S28" i="41"/>
  <c r="R28" i="41" s="1"/>
  <c r="Y28" i="41" s="1"/>
  <c r="P28" i="41"/>
  <c r="V27" i="41"/>
  <c r="S27" i="41"/>
  <c r="P27" i="41"/>
  <c r="V26" i="41"/>
  <c r="W26" i="41" s="1"/>
  <c r="S26" i="41"/>
  <c r="P26" i="41"/>
  <c r="V25" i="41"/>
  <c r="W25" i="41" s="1"/>
  <c r="S25" i="41"/>
  <c r="R25" i="41" s="1"/>
  <c r="P25" i="41"/>
  <c r="V24" i="41"/>
  <c r="W24" i="41"/>
  <c r="S24" i="41"/>
  <c r="R24" i="41" s="1"/>
  <c r="P24" i="41"/>
  <c r="V23" i="41"/>
  <c r="S23" i="41"/>
  <c r="R23" i="41" s="1"/>
  <c r="P23" i="41"/>
  <c r="W22" i="41"/>
  <c r="V22" i="41"/>
  <c r="S22" i="41"/>
  <c r="Z22" i="41" s="1"/>
  <c r="P22" i="41"/>
  <c r="V21" i="41"/>
  <c r="S21" i="41"/>
  <c r="R21" i="41" s="1"/>
  <c r="Y21" i="41" s="1"/>
  <c r="P21" i="41"/>
  <c r="V20" i="41"/>
  <c r="W20" i="41"/>
  <c r="S20" i="41"/>
  <c r="R20" i="41" s="1"/>
  <c r="P20" i="41"/>
  <c r="V19" i="41"/>
  <c r="S19" i="41"/>
  <c r="P19" i="41"/>
  <c r="V18" i="41"/>
  <c r="W18" i="41" s="1"/>
  <c r="S18" i="41"/>
  <c r="P18" i="41"/>
  <c r="V17" i="41"/>
  <c r="W17" i="41" s="1"/>
  <c r="S17" i="41"/>
  <c r="P17" i="41"/>
  <c r="V16" i="41"/>
  <c r="W16" i="41"/>
  <c r="S16" i="41"/>
  <c r="P16" i="41"/>
  <c r="V15" i="41"/>
  <c r="S15" i="41"/>
  <c r="Z15" i="41" s="1"/>
  <c r="P15" i="41"/>
  <c r="V14" i="41"/>
  <c r="S14" i="41"/>
  <c r="Z14" i="41" s="1"/>
  <c r="P14" i="41"/>
  <c r="V13" i="41"/>
  <c r="W13" i="41" s="1"/>
  <c r="S13" i="41"/>
  <c r="P13" i="41"/>
  <c r="V12" i="41"/>
  <c r="W12" i="41" s="1"/>
  <c r="S12" i="41"/>
  <c r="P12" i="41"/>
  <c r="V11" i="41"/>
  <c r="S11" i="41"/>
  <c r="P11" i="41"/>
  <c r="V10" i="41"/>
  <c r="W10" i="41"/>
  <c r="S10" i="41"/>
  <c r="Z10" i="41" s="1"/>
  <c r="P10" i="41"/>
  <c r="V9" i="41"/>
  <c r="S9" i="41"/>
  <c r="Z9" i="41" s="1"/>
  <c r="P9" i="41"/>
  <c r="V8" i="41"/>
  <c r="W8" i="41" s="1"/>
  <c r="S8" i="41"/>
  <c r="P8" i="41"/>
  <c r="V7" i="41"/>
  <c r="S7" i="41"/>
  <c r="P7" i="41"/>
  <c r="V6" i="41"/>
  <c r="W6" i="41" s="1"/>
  <c r="S6" i="41"/>
  <c r="R6" i="41" s="1"/>
  <c r="P6" i="41"/>
  <c r="V5" i="41"/>
  <c r="S5" i="41"/>
  <c r="P5" i="41"/>
  <c r="V4" i="41"/>
  <c r="W4" i="41" s="1"/>
  <c r="S4" i="41"/>
  <c r="P4" i="41"/>
  <c r="V3" i="41"/>
  <c r="S3" i="41"/>
  <c r="R3" i="41" s="1"/>
  <c r="P3" i="41"/>
  <c r="M38" i="42"/>
  <c r="L38" i="42"/>
  <c r="M37" i="42"/>
  <c r="M45" i="42"/>
  <c r="L37" i="42"/>
  <c r="L44" i="42" s="1"/>
  <c r="O36" i="42"/>
  <c r="O37" i="42"/>
  <c r="M36" i="42"/>
  <c r="L36" i="42"/>
  <c r="E36" i="42"/>
  <c r="V33" i="42"/>
  <c r="S33" i="42"/>
  <c r="P33" i="42"/>
  <c r="V32" i="42"/>
  <c r="W32" i="42"/>
  <c r="S32" i="42"/>
  <c r="Z32" i="42" s="1"/>
  <c r="P32" i="42"/>
  <c r="V31" i="42"/>
  <c r="S31" i="42"/>
  <c r="P31" i="42"/>
  <c r="W30" i="42"/>
  <c r="V30" i="42"/>
  <c r="S30" i="42"/>
  <c r="Z30" i="42" s="1"/>
  <c r="P30" i="42"/>
  <c r="V29" i="42"/>
  <c r="S29" i="42"/>
  <c r="P29" i="42"/>
  <c r="V28" i="42"/>
  <c r="W28" i="42" s="1"/>
  <c r="S28" i="42"/>
  <c r="P28" i="42"/>
  <c r="V27" i="42"/>
  <c r="W27" i="42" s="1"/>
  <c r="S27" i="42"/>
  <c r="P27" i="42"/>
  <c r="V26" i="42"/>
  <c r="W26" i="42" s="1"/>
  <c r="S26" i="42"/>
  <c r="P26" i="42"/>
  <c r="V25" i="42"/>
  <c r="S25" i="42"/>
  <c r="P25" i="42"/>
  <c r="V24" i="42"/>
  <c r="W24" i="42" s="1"/>
  <c r="S24" i="42"/>
  <c r="P24" i="42"/>
  <c r="V23" i="42"/>
  <c r="S23" i="42"/>
  <c r="P23" i="42"/>
  <c r="V22" i="42"/>
  <c r="W22" i="42" s="1"/>
  <c r="S22" i="42"/>
  <c r="P22" i="42"/>
  <c r="V21" i="42"/>
  <c r="W21" i="42" s="1"/>
  <c r="S21" i="42"/>
  <c r="P21" i="42"/>
  <c r="V20" i="42"/>
  <c r="W20" i="42"/>
  <c r="S20" i="42"/>
  <c r="P20" i="42"/>
  <c r="V19" i="42"/>
  <c r="S19" i="42"/>
  <c r="P19" i="42"/>
  <c r="V18" i="42"/>
  <c r="S18" i="42"/>
  <c r="Z18" i="42" s="1"/>
  <c r="P18" i="42"/>
  <c r="V17" i="42"/>
  <c r="S17" i="42"/>
  <c r="P17" i="42"/>
  <c r="V16" i="42"/>
  <c r="W16" i="42" s="1"/>
  <c r="S16" i="42"/>
  <c r="P16" i="42"/>
  <c r="V15" i="42"/>
  <c r="S15" i="42"/>
  <c r="P15" i="42"/>
  <c r="V14" i="42"/>
  <c r="W14" i="42"/>
  <c r="S14" i="42"/>
  <c r="Z14" i="42" s="1"/>
  <c r="P14" i="42"/>
  <c r="V13" i="42"/>
  <c r="S13" i="42"/>
  <c r="P13" i="42"/>
  <c r="V12" i="42"/>
  <c r="W12" i="42"/>
  <c r="S12" i="42"/>
  <c r="P12" i="42"/>
  <c r="V11" i="42"/>
  <c r="S11" i="42"/>
  <c r="P11" i="42"/>
  <c r="V10" i="42"/>
  <c r="S10" i="42"/>
  <c r="P10" i="42"/>
  <c r="V9" i="42"/>
  <c r="S9" i="42"/>
  <c r="P9" i="42"/>
  <c r="V8" i="42"/>
  <c r="W8" i="42"/>
  <c r="S8" i="42"/>
  <c r="Z8" i="42" s="1"/>
  <c r="P8" i="42"/>
  <c r="V7" i="42"/>
  <c r="S7" i="42"/>
  <c r="P7" i="42"/>
  <c r="V6" i="42"/>
  <c r="W6" i="42"/>
  <c r="S6" i="42"/>
  <c r="P6" i="42"/>
  <c r="V5" i="42"/>
  <c r="S5" i="42"/>
  <c r="Z5" i="42" s="1"/>
  <c r="P5" i="42"/>
  <c r="V4" i="42"/>
  <c r="W4" i="42" s="1"/>
  <c r="S4" i="42"/>
  <c r="P4" i="42"/>
  <c r="V3" i="42"/>
  <c r="S3" i="42"/>
  <c r="R3" i="42" s="1"/>
  <c r="T3" i="42" s="1"/>
  <c r="P3" i="42"/>
  <c r="L44" i="43"/>
  <c r="M38" i="43"/>
  <c r="L38" i="43"/>
  <c r="M37" i="43"/>
  <c r="M45" i="43"/>
  <c r="L37" i="43"/>
  <c r="L45" i="43"/>
  <c r="O36" i="43"/>
  <c r="O37" i="43"/>
  <c r="M36" i="43"/>
  <c r="L36" i="43"/>
  <c r="E36" i="43"/>
  <c r="V33" i="43"/>
  <c r="S33" i="43"/>
  <c r="P33" i="43"/>
  <c r="V32" i="43"/>
  <c r="W32" i="43"/>
  <c r="S32" i="43"/>
  <c r="P32" i="43"/>
  <c r="V31" i="43"/>
  <c r="S31" i="43"/>
  <c r="P31" i="43"/>
  <c r="V30" i="43"/>
  <c r="W30" i="43" s="1"/>
  <c r="S30" i="43"/>
  <c r="P30" i="43"/>
  <c r="V29" i="43"/>
  <c r="S29" i="43"/>
  <c r="P29" i="43"/>
  <c r="V28" i="43"/>
  <c r="W28" i="43"/>
  <c r="S28" i="43"/>
  <c r="Z28" i="43" s="1"/>
  <c r="P28" i="43"/>
  <c r="V27" i="43"/>
  <c r="S27" i="43"/>
  <c r="P27" i="43"/>
  <c r="V26" i="43"/>
  <c r="S26" i="43"/>
  <c r="P26" i="43"/>
  <c r="V25" i="43"/>
  <c r="S25" i="43"/>
  <c r="Z25" i="43" s="1"/>
  <c r="P25" i="43"/>
  <c r="V24" i="43"/>
  <c r="W24" i="43" s="1"/>
  <c r="S24" i="43"/>
  <c r="P24" i="43"/>
  <c r="V23" i="43"/>
  <c r="W23" i="43" s="1"/>
  <c r="S23" i="43"/>
  <c r="P23" i="43"/>
  <c r="V22" i="43"/>
  <c r="W22" i="43"/>
  <c r="S22" i="43"/>
  <c r="Z22" i="43" s="1"/>
  <c r="P22" i="43"/>
  <c r="V21" i="43"/>
  <c r="S21" i="43"/>
  <c r="Z21" i="43" s="1"/>
  <c r="P21" i="43"/>
  <c r="V20" i="43"/>
  <c r="W20" i="43" s="1"/>
  <c r="S20" i="43"/>
  <c r="Z20" i="43" s="1"/>
  <c r="P20" i="43"/>
  <c r="V19" i="43"/>
  <c r="S19" i="43"/>
  <c r="P19" i="43"/>
  <c r="V18" i="43"/>
  <c r="W18" i="43" s="1"/>
  <c r="S18" i="43"/>
  <c r="P18" i="43"/>
  <c r="V17" i="43"/>
  <c r="S17" i="43"/>
  <c r="P17" i="43"/>
  <c r="V16" i="43"/>
  <c r="W16" i="43"/>
  <c r="S16" i="43"/>
  <c r="Z16" i="43" s="1"/>
  <c r="P16" i="43"/>
  <c r="V15" i="43"/>
  <c r="S15" i="43"/>
  <c r="Z15" i="43" s="1"/>
  <c r="P15" i="43"/>
  <c r="V14" i="43"/>
  <c r="W14" i="43" s="1"/>
  <c r="S14" i="43"/>
  <c r="Z14" i="43" s="1"/>
  <c r="P14" i="43"/>
  <c r="V13" i="43"/>
  <c r="S13" i="43"/>
  <c r="P13" i="43"/>
  <c r="V12" i="43"/>
  <c r="W12" i="43" s="1"/>
  <c r="S12" i="43"/>
  <c r="R12" i="43" s="1"/>
  <c r="P12" i="43"/>
  <c r="V11" i="43"/>
  <c r="S11" i="43"/>
  <c r="P11" i="43"/>
  <c r="V10" i="43"/>
  <c r="S10" i="43"/>
  <c r="P10" i="43"/>
  <c r="V9" i="43"/>
  <c r="S9" i="43"/>
  <c r="Z9" i="43" s="1"/>
  <c r="P9" i="43"/>
  <c r="V8" i="43"/>
  <c r="W8" i="43" s="1"/>
  <c r="S8" i="43"/>
  <c r="P8" i="43"/>
  <c r="V7" i="43"/>
  <c r="S7" i="43"/>
  <c r="P7" i="43"/>
  <c r="V6" i="43"/>
  <c r="S6" i="43"/>
  <c r="P6" i="43"/>
  <c r="V5" i="43"/>
  <c r="S5" i="43"/>
  <c r="P5" i="43"/>
  <c r="V4" i="43"/>
  <c r="W4" i="43"/>
  <c r="S4" i="43"/>
  <c r="Z4" i="43" s="1"/>
  <c r="P4" i="43"/>
  <c r="V3" i="43"/>
  <c r="S3" i="43"/>
  <c r="P3" i="43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S33" i="44"/>
  <c r="P33" i="44"/>
  <c r="V32" i="44"/>
  <c r="W32" i="44" s="1"/>
  <c r="S32" i="44"/>
  <c r="Z32" i="44" s="1"/>
  <c r="P32" i="44"/>
  <c r="V31" i="44"/>
  <c r="W31" i="44" s="1"/>
  <c r="S31" i="44"/>
  <c r="P31" i="44"/>
  <c r="V30" i="44"/>
  <c r="W30" i="44" s="1"/>
  <c r="S30" i="44"/>
  <c r="P30" i="44"/>
  <c r="V29" i="44"/>
  <c r="S29" i="44"/>
  <c r="Z29" i="44" s="1"/>
  <c r="P29" i="44"/>
  <c r="V28" i="44"/>
  <c r="W28" i="44"/>
  <c r="S28" i="44"/>
  <c r="P28" i="44"/>
  <c r="V27" i="44"/>
  <c r="W27" i="44" s="1"/>
  <c r="S27" i="44"/>
  <c r="Z27" i="44" s="1"/>
  <c r="P27" i="44"/>
  <c r="V26" i="44"/>
  <c r="S26" i="44"/>
  <c r="P26" i="44"/>
  <c r="V25" i="44"/>
  <c r="W25" i="44" s="1"/>
  <c r="S25" i="44"/>
  <c r="R25" i="44" s="1"/>
  <c r="T25" i="44" s="1"/>
  <c r="P25" i="44"/>
  <c r="V24" i="44"/>
  <c r="W24" i="44"/>
  <c r="S24" i="44"/>
  <c r="P24" i="44"/>
  <c r="V23" i="44"/>
  <c r="S23" i="44"/>
  <c r="P23" i="44"/>
  <c r="V22" i="44"/>
  <c r="W22" i="44"/>
  <c r="S22" i="44"/>
  <c r="P22" i="44"/>
  <c r="V21" i="44"/>
  <c r="S21" i="44"/>
  <c r="P21" i="44"/>
  <c r="V20" i="44"/>
  <c r="W20" i="44" s="1"/>
  <c r="S20" i="44"/>
  <c r="P20" i="44"/>
  <c r="V19" i="44"/>
  <c r="W19" i="44" s="1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Z16" i="44" s="1"/>
  <c r="P16" i="44"/>
  <c r="V15" i="44"/>
  <c r="S15" i="44"/>
  <c r="Z15" i="44" s="1"/>
  <c r="P15" i="44"/>
  <c r="V14" i="44"/>
  <c r="W14" i="44" s="1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R11" i="44" s="1"/>
  <c r="P11" i="44"/>
  <c r="V10" i="44"/>
  <c r="S10" i="44"/>
  <c r="P10" i="44"/>
  <c r="V9" i="44"/>
  <c r="W9" i="44" s="1"/>
  <c r="S9" i="44"/>
  <c r="P9" i="44"/>
  <c r="V8" i="44"/>
  <c r="W8" i="44"/>
  <c r="S8" i="44"/>
  <c r="P8" i="44"/>
  <c r="V7" i="44"/>
  <c r="S7" i="44"/>
  <c r="Z7" i="44" s="1"/>
  <c r="P7" i="44"/>
  <c r="V6" i="44"/>
  <c r="S6" i="44"/>
  <c r="P6" i="44"/>
  <c r="V5" i="44"/>
  <c r="W5" i="44" s="1"/>
  <c r="S5" i="44"/>
  <c r="P5" i="44"/>
  <c r="V4" i="44"/>
  <c r="W4" i="44" s="1"/>
  <c r="S4" i="44"/>
  <c r="P4" i="44"/>
  <c r="V3" i="44"/>
  <c r="W3" i="44" s="1"/>
  <c r="S3" i="44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W33" i="45" s="1"/>
  <c r="S33" i="45"/>
  <c r="P33" i="45"/>
  <c r="V32" i="45"/>
  <c r="W32" i="45" s="1"/>
  <c r="S32" i="45"/>
  <c r="P32" i="45"/>
  <c r="V31" i="45"/>
  <c r="S31" i="45"/>
  <c r="P31" i="45"/>
  <c r="V30" i="45"/>
  <c r="S30" i="45"/>
  <c r="P30" i="45"/>
  <c r="V29" i="45"/>
  <c r="W29" i="45" s="1"/>
  <c r="S29" i="45"/>
  <c r="P29" i="45"/>
  <c r="V28" i="45"/>
  <c r="W28" i="45" s="1"/>
  <c r="S28" i="45"/>
  <c r="P28" i="45"/>
  <c r="V27" i="45"/>
  <c r="W27" i="45" s="1"/>
  <c r="S27" i="45"/>
  <c r="P27" i="45"/>
  <c r="V26" i="45"/>
  <c r="W26" i="45" s="1"/>
  <c r="S26" i="45"/>
  <c r="P26" i="45"/>
  <c r="V25" i="45"/>
  <c r="W25" i="45" s="1"/>
  <c r="S25" i="45"/>
  <c r="P25" i="45"/>
  <c r="V24" i="45"/>
  <c r="W24" i="45"/>
  <c r="S24" i="45"/>
  <c r="P24" i="45"/>
  <c r="V23" i="45"/>
  <c r="W23" i="45" s="1"/>
  <c r="S23" i="45"/>
  <c r="P23" i="45"/>
  <c r="V22" i="45"/>
  <c r="W22" i="45" s="1"/>
  <c r="S22" i="45"/>
  <c r="P22" i="45"/>
  <c r="V21" i="45"/>
  <c r="S21" i="45"/>
  <c r="R21" i="45" s="1"/>
  <c r="P21" i="45"/>
  <c r="V20" i="45"/>
  <c r="W20" i="45" s="1"/>
  <c r="S20" i="45"/>
  <c r="R20" i="45"/>
  <c r="P20" i="45"/>
  <c r="V19" i="45"/>
  <c r="S19" i="45"/>
  <c r="P19" i="45"/>
  <c r="W18" i="45"/>
  <c r="V18" i="45"/>
  <c r="S18" i="45"/>
  <c r="P18" i="45"/>
  <c r="V17" i="45"/>
  <c r="W17" i="45" s="1"/>
  <c r="S17" i="45"/>
  <c r="P17" i="45"/>
  <c r="V16" i="45"/>
  <c r="W16" i="45" s="1"/>
  <c r="S16" i="45"/>
  <c r="R16" i="45" s="1"/>
  <c r="P16" i="45"/>
  <c r="V15" i="45"/>
  <c r="W15" i="45" s="1"/>
  <c r="S15" i="45"/>
  <c r="P15" i="45"/>
  <c r="V14" i="45"/>
  <c r="S14" i="45"/>
  <c r="Z14" i="45" s="1"/>
  <c r="P14" i="45"/>
  <c r="V13" i="45"/>
  <c r="S13" i="45"/>
  <c r="P13" i="45"/>
  <c r="W12" i="45"/>
  <c r="V12" i="45"/>
  <c r="S12" i="45"/>
  <c r="P12" i="45"/>
  <c r="V11" i="45"/>
  <c r="W11" i="45" s="1"/>
  <c r="S11" i="45"/>
  <c r="P11" i="45"/>
  <c r="V10" i="45"/>
  <c r="W10" i="45" s="1"/>
  <c r="S10" i="45"/>
  <c r="P10" i="45"/>
  <c r="V9" i="45"/>
  <c r="S9" i="45"/>
  <c r="P9" i="45"/>
  <c r="V8" i="45"/>
  <c r="W8" i="45" s="1"/>
  <c r="S8" i="45"/>
  <c r="R8" i="45" s="1"/>
  <c r="P8" i="45"/>
  <c r="V7" i="45"/>
  <c r="W7" i="45" s="1"/>
  <c r="S7" i="45"/>
  <c r="P7" i="45"/>
  <c r="V6" i="45"/>
  <c r="W6" i="45" s="1"/>
  <c r="S6" i="45"/>
  <c r="P6" i="45"/>
  <c r="V5" i="45"/>
  <c r="W5" i="45" s="1"/>
  <c r="S5" i="45"/>
  <c r="P5" i="45"/>
  <c r="V4" i="45"/>
  <c r="W4" i="45" s="1"/>
  <c r="S4" i="45"/>
  <c r="P4" i="45"/>
  <c r="V3" i="45"/>
  <c r="S3" i="45"/>
  <c r="P3" i="45"/>
  <c r="M38" i="46"/>
  <c r="L38" i="46"/>
  <c r="M37" i="46"/>
  <c r="M45" i="46"/>
  <c r="L37" i="46"/>
  <c r="L44" i="46" s="1"/>
  <c r="O36" i="46"/>
  <c r="O37" i="46"/>
  <c r="M36" i="46"/>
  <c r="L36" i="46"/>
  <c r="E36" i="46"/>
  <c r="V33" i="46"/>
  <c r="S33" i="46"/>
  <c r="Z33" i="46" s="1"/>
  <c r="P33" i="46"/>
  <c r="V32" i="46"/>
  <c r="W32" i="46"/>
  <c r="S32" i="46"/>
  <c r="R32" i="46" s="1"/>
  <c r="P32" i="46"/>
  <c r="V31" i="46"/>
  <c r="S31" i="46"/>
  <c r="Z31" i="46" s="1"/>
  <c r="P31" i="46"/>
  <c r="V30" i="46"/>
  <c r="S30" i="46"/>
  <c r="P30" i="46"/>
  <c r="V29" i="46"/>
  <c r="W29" i="46" s="1"/>
  <c r="S29" i="46"/>
  <c r="R29" i="46" s="1"/>
  <c r="P29" i="46"/>
  <c r="V28" i="46"/>
  <c r="W28" i="46" s="1"/>
  <c r="S28" i="46"/>
  <c r="P28" i="46"/>
  <c r="V27" i="46"/>
  <c r="S27" i="46"/>
  <c r="P27" i="46"/>
  <c r="V26" i="46"/>
  <c r="W26" i="46" s="1"/>
  <c r="S26" i="46"/>
  <c r="P26" i="46"/>
  <c r="V25" i="46"/>
  <c r="W25" i="46" s="1"/>
  <c r="S25" i="46"/>
  <c r="P25" i="46"/>
  <c r="W24" i="46"/>
  <c r="V24" i="46"/>
  <c r="S24" i="46"/>
  <c r="R24" i="46" s="1"/>
  <c r="T24" i="46" s="1"/>
  <c r="P24" i="46"/>
  <c r="V23" i="46"/>
  <c r="W23" i="46" s="1"/>
  <c r="S23" i="46"/>
  <c r="P23" i="46"/>
  <c r="V22" i="46"/>
  <c r="W22" i="46" s="1"/>
  <c r="S22" i="46"/>
  <c r="R22" i="46" s="1"/>
  <c r="Y22" i="46" s="1"/>
  <c r="P22" i="46"/>
  <c r="V21" i="46"/>
  <c r="S21" i="46"/>
  <c r="P21" i="46"/>
  <c r="V20" i="46"/>
  <c r="W20" i="46" s="1"/>
  <c r="S20" i="46"/>
  <c r="P20" i="46"/>
  <c r="V19" i="46"/>
  <c r="W19" i="46" s="1"/>
  <c r="S19" i="46"/>
  <c r="P19" i="46"/>
  <c r="V18" i="46"/>
  <c r="W18" i="46"/>
  <c r="S18" i="46"/>
  <c r="P18" i="46"/>
  <c r="V17" i="46"/>
  <c r="S17" i="46"/>
  <c r="Z17" i="46" s="1"/>
  <c r="P17" i="46"/>
  <c r="V16" i="46"/>
  <c r="W16" i="46" s="1"/>
  <c r="S16" i="46"/>
  <c r="R16" i="46" s="1"/>
  <c r="Y16" i="46" s="1"/>
  <c r="P16" i="46"/>
  <c r="V15" i="46"/>
  <c r="W15" i="46" s="1"/>
  <c r="S15" i="46"/>
  <c r="P15" i="46"/>
  <c r="V14" i="46"/>
  <c r="W14" i="46" s="1"/>
  <c r="S14" i="46"/>
  <c r="P14" i="46"/>
  <c r="V13" i="46"/>
  <c r="S13" i="46"/>
  <c r="P13" i="46"/>
  <c r="V12" i="46"/>
  <c r="W12" i="46"/>
  <c r="S12" i="46"/>
  <c r="P12" i="46"/>
  <c r="V11" i="46"/>
  <c r="S11" i="46"/>
  <c r="P11" i="46"/>
  <c r="V10" i="46"/>
  <c r="W10" i="46" s="1"/>
  <c r="S10" i="46"/>
  <c r="P10" i="46"/>
  <c r="V9" i="46"/>
  <c r="W9" i="46" s="1"/>
  <c r="S9" i="46"/>
  <c r="P9" i="46"/>
  <c r="V8" i="46"/>
  <c r="S8" i="46"/>
  <c r="P8" i="46"/>
  <c r="V7" i="46"/>
  <c r="S7" i="46"/>
  <c r="Z7" i="46" s="1"/>
  <c r="P7" i="46"/>
  <c r="V6" i="46"/>
  <c r="W6" i="46" s="1"/>
  <c r="S6" i="46"/>
  <c r="P6" i="46"/>
  <c r="V5" i="46"/>
  <c r="W5" i="46" s="1"/>
  <c r="S5" i="46"/>
  <c r="P5" i="46"/>
  <c r="V4" i="46"/>
  <c r="W4" i="46"/>
  <c r="S4" i="46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S33" i="47"/>
  <c r="P33" i="47"/>
  <c r="V32" i="47"/>
  <c r="W32" i="47" s="1"/>
  <c r="S32" i="47"/>
  <c r="P32" i="47"/>
  <c r="V31" i="47"/>
  <c r="W31" i="47" s="1"/>
  <c r="S31" i="47"/>
  <c r="P31" i="47"/>
  <c r="V30" i="47"/>
  <c r="S30" i="47"/>
  <c r="P30" i="47"/>
  <c r="V29" i="47"/>
  <c r="W29" i="47" s="1"/>
  <c r="S29" i="47"/>
  <c r="P29" i="47"/>
  <c r="V28" i="47"/>
  <c r="W28" i="47" s="1"/>
  <c r="S28" i="47"/>
  <c r="R28" i="47" s="1"/>
  <c r="T28" i="47" s="1"/>
  <c r="P28" i="47"/>
  <c r="V27" i="47"/>
  <c r="W27" i="47" s="1"/>
  <c r="S27" i="47"/>
  <c r="P27" i="47"/>
  <c r="V26" i="47"/>
  <c r="W26" i="47"/>
  <c r="S26" i="47"/>
  <c r="P26" i="47"/>
  <c r="V25" i="47"/>
  <c r="S25" i="47"/>
  <c r="Z25" i="47" s="1"/>
  <c r="P25" i="47"/>
  <c r="V24" i="47"/>
  <c r="W24" i="47" s="1"/>
  <c r="S24" i="47"/>
  <c r="R24" i="47" s="1"/>
  <c r="P24" i="47"/>
  <c r="V23" i="47"/>
  <c r="W23" i="47" s="1"/>
  <c r="S23" i="47"/>
  <c r="P23" i="47"/>
  <c r="W22" i="47"/>
  <c r="V22" i="47"/>
  <c r="S22" i="47"/>
  <c r="P22" i="47"/>
  <c r="V21" i="47"/>
  <c r="W21" i="47" s="1"/>
  <c r="S21" i="47"/>
  <c r="P21" i="47"/>
  <c r="V20" i="47"/>
  <c r="W20" i="47"/>
  <c r="S20" i="47"/>
  <c r="R20" i="47" s="1"/>
  <c r="P20" i="47"/>
  <c r="V19" i="47"/>
  <c r="W19" i="47" s="1"/>
  <c r="S19" i="47"/>
  <c r="P19" i="47"/>
  <c r="V18" i="47"/>
  <c r="W18" i="47" s="1"/>
  <c r="S18" i="47"/>
  <c r="Z18" i="47" s="1"/>
  <c r="P18" i="47"/>
  <c r="V17" i="47"/>
  <c r="S17" i="47"/>
  <c r="Z17" i="47" s="1"/>
  <c r="P17" i="47"/>
  <c r="V16" i="47"/>
  <c r="W16" i="47" s="1"/>
  <c r="S16" i="47"/>
  <c r="R16" i="47" s="1"/>
  <c r="P16" i="47"/>
  <c r="V15" i="47"/>
  <c r="S15" i="47"/>
  <c r="P15" i="47"/>
  <c r="V14" i="47"/>
  <c r="W14" i="47"/>
  <c r="S14" i="47"/>
  <c r="R14" i="47" s="1"/>
  <c r="T14" i="47" s="1"/>
  <c r="P14" i="47"/>
  <c r="V13" i="47"/>
  <c r="S13" i="47"/>
  <c r="Z13" i="47" s="1"/>
  <c r="P13" i="47"/>
  <c r="V12" i="47"/>
  <c r="W12" i="47"/>
  <c r="S12" i="47"/>
  <c r="P12" i="47"/>
  <c r="V11" i="47"/>
  <c r="W11" i="47" s="1"/>
  <c r="S11" i="47"/>
  <c r="Z11" i="47" s="1"/>
  <c r="P11" i="47"/>
  <c r="V10" i="47"/>
  <c r="W10" i="47" s="1"/>
  <c r="S10" i="47"/>
  <c r="P10" i="47"/>
  <c r="V9" i="47"/>
  <c r="W9" i="47" s="1"/>
  <c r="S9" i="47"/>
  <c r="P9" i="47"/>
  <c r="V8" i="47"/>
  <c r="W8" i="47" s="1"/>
  <c r="S8" i="47"/>
  <c r="R8" i="47" s="1"/>
  <c r="T8" i="47" s="1"/>
  <c r="P8" i="47"/>
  <c r="V7" i="47"/>
  <c r="S7" i="47"/>
  <c r="P7" i="47"/>
  <c r="V6" i="47"/>
  <c r="W6" i="47" s="1"/>
  <c r="S6" i="47"/>
  <c r="P6" i="47"/>
  <c r="V5" i="47"/>
  <c r="W5" i="47" s="1"/>
  <c r="S5" i="47"/>
  <c r="P5" i="47"/>
  <c r="V4" i="47"/>
  <c r="W4" i="47" s="1"/>
  <c r="S4" i="47"/>
  <c r="P4" i="47"/>
  <c r="V3" i="47"/>
  <c r="S3" i="47"/>
  <c r="P3" i="47"/>
  <c r="M38" i="48"/>
  <c r="L38" i="48"/>
  <c r="M37" i="48"/>
  <c r="M45" i="48" s="1"/>
  <c r="L37" i="48"/>
  <c r="L44" i="48" s="1"/>
  <c r="L45" i="48"/>
  <c r="O36" i="48"/>
  <c r="O37" i="48" s="1"/>
  <c r="M36" i="48"/>
  <c r="L36" i="48"/>
  <c r="E36" i="48"/>
  <c r="V33" i="48"/>
  <c r="S33" i="48"/>
  <c r="P33" i="48"/>
  <c r="V32" i="48"/>
  <c r="W32" i="48" s="1"/>
  <c r="S32" i="48"/>
  <c r="R32" i="48" s="1"/>
  <c r="P32" i="48"/>
  <c r="V31" i="48"/>
  <c r="W31" i="48" s="1"/>
  <c r="S31" i="48"/>
  <c r="P31" i="48"/>
  <c r="V30" i="48"/>
  <c r="W30" i="48" s="1"/>
  <c r="S30" i="48"/>
  <c r="P30" i="48"/>
  <c r="V29" i="48"/>
  <c r="S29" i="48"/>
  <c r="P29" i="48"/>
  <c r="V28" i="48"/>
  <c r="W28" i="48" s="1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S23" i="48"/>
  <c r="P23" i="48"/>
  <c r="V22" i="48"/>
  <c r="W22" i="48" s="1"/>
  <c r="S22" i="48"/>
  <c r="P22" i="48"/>
  <c r="V21" i="48"/>
  <c r="W21" i="48" s="1"/>
  <c r="S21" i="48"/>
  <c r="P21" i="48"/>
  <c r="V20" i="48"/>
  <c r="W20" i="48"/>
  <c r="S20" i="48"/>
  <c r="P20" i="48"/>
  <c r="V19" i="48"/>
  <c r="W19" i="48" s="1"/>
  <c r="S19" i="48"/>
  <c r="P19" i="48"/>
  <c r="V18" i="48"/>
  <c r="W18" i="48" s="1"/>
  <c r="S18" i="48"/>
  <c r="Z18" i="48" s="1"/>
  <c r="P18" i="48"/>
  <c r="V17" i="48"/>
  <c r="W17" i="48" s="1"/>
  <c r="S17" i="48"/>
  <c r="P17" i="48"/>
  <c r="V16" i="48"/>
  <c r="W16" i="48"/>
  <c r="S16" i="48"/>
  <c r="R16" i="48" s="1"/>
  <c r="T16" i="48" s="1"/>
  <c r="P16" i="48"/>
  <c r="V15" i="48"/>
  <c r="S15" i="48"/>
  <c r="P15" i="48"/>
  <c r="V14" i="48"/>
  <c r="W14" i="48" s="1"/>
  <c r="S14" i="48"/>
  <c r="Z14" i="48" s="1"/>
  <c r="P14" i="48"/>
  <c r="V13" i="48"/>
  <c r="W13" i="48" s="1"/>
  <c r="S13" i="48"/>
  <c r="P13" i="48"/>
  <c r="V12" i="48"/>
  <c r="W12" i="48" s="1"/>
  <c r="S12" i="48"/>
  <c r="P12" i="48"/>
  <c r="V11" i="48"/>
  <c r="W11" i="48" s="1"/>
  <c r="S11" i="48"/>
  <c r="P11" i="48"/>
  <c r="V10" i="48"/>
  <c r="W10" i="48" s="1"/>
  <c r="S10" i="48"/>
  <c r="P10" i="48"/>
  <c r="V9" i="48"/>
  <c r="S9" i="48"/>
  <c r="R9" i="48" s="1"/>
  <c r="P9" i="48"/>
  <c r="V8" i="48"/>
  <c r="W8" i="48"/>
  <c r="S8" i="48"/>
  <c r="P8" i="48"/>
  <c r="V7" i="48"/>
  <c r="S7" i="48"/>
  <c r="Z7" i="48" s="1"/>
  <c r="P7" i="48"/>
  <c r="W6" i="48"/>
  <c r="V6" i="48"/>
  <c r="S6" i="48"/>
  <c r="R6" i="48" s="1"/>
  <c r="Y6" i="48" s="1"/>
  <c r="P6" i="48"/>
  <c r="V5" i="48"/>
  <c r="W5" i="48" s="1"/>
  <c r="S5" i="48"/>
  <c r="P5" i="48"/>
  <c r="V4" i="48"/>
  <c r="W4" i="48" s="1"/>
  <c r="S4" i="48"/>
  <c r="P4" i="48"/>
  <c r="V3" i="48"/>
  <c r="W3" i="48" s="1"/>
  <c r="S3" i="48"/>
  <c r="P3" i="48"/>
  <c r="M38" i="49"/>
  <c r="L38" i="49"/>
  <c r="M37" i="49"/>
  <c r="M45" i="49"/>
  <c r="L37" i="49"/>
  <c r="L44" i="49" s="1"/>
  <c r="L45" i="49"/>
  <c r="O36" i="49"/>
  <c r="O37" i="49"/>
  <c r="M36" i="49"/>
  <c r="L36" i="49"/>
  <c r="E36" i="49"/>
  <c r="V33" i="49"/>
  <c r="W33" i="49" s="1"/>
  <c r="S33" i="49"/>
  <c r="P33" i="49"/>
  <c r="V32" i="49"/>
  <c r="W32" i="49"/>
  <c r="S32" i="49"/>
  <c r="P32" i="49"/>
  <c r="V31" i="49"/>
  <c r="S31" i="49"/>
  <c r="P31" i="49"/>
  <c r="V30" i="49"/>
  <c r="W30" i="49" s="1"/>
  <c r="S30" i="49"/>
  <c r="R30" i="49" s="1"/>
  <c r="T30" i="49" s="1"/>
  <c r="P30" i="49"/>
  <c r="V29" i="49"/>
  <c r="S29" i="49"/>
  <c r="P29" i="49"/>
  <c r="V28" i="49"/>
  <c r="W28" i="49" s="1"/>
  <c r="S28" i="49"/>
  <c r="P28" i="49"/>
  <c r="V27" i="49"/>
  <c r="S27" i="49"/>
  <c r="R27" i="49" s="1"/>
  <c r="P27" i="49"/>
  <c r="V26" i="49"/>
  <c r="W26" i="49" s="1"/>
  <c r="S26" i="49"/>
  <c r="P26" i="49"/>
  <c r="V25" i="49"/>
  <c r="W25" i="49" s="1"/>
  <c r="S25" i="49"/>
  <c r="P25" i="49"/>
  <c r="V24" i="49"/>
  <c r="W24" i="49" s="1"/>
  <c r="S24" i="49"/>
  <c r="R24" i="49" s="1"/>
  <c r="P24" i="49"/>
  <c r="V23" i="49"/>
  <c r="W23" i="49" s="1"/>
  <c r="S23" i="49"/>
  <c r="R23" i="49" s="1"/>
  <c r="P23" i="49"/>
  <c r="V22" i="49"/>
  <c r="W22" i="49" s="1"/>
  <c r="S22" i="49"/>
  <c r="R22" i="49" s="1"/>
  <c r="Y22" i="49" s="1"/>
  <c r="P22" i="49"/>
  <c r="V21" i="49"/>
  <c r="S21" i="49"/>
  <c r="R21" i="49" s="1"/>
  <c r="P21" i="49"/>
  <c r="V20" i="49"/>
  <c r="S20" i="49"/>
  <c r="P20" i="49"/>
  <c r="V19" i="49"/>
  <c r="W19" i="49" s="1"/>
  <c r="S19" i="49"/>
  <c r="P19" i="49"/>
  <c r="V18" i="49"/>
  <c r="W18" i="49"/>
  <c r="S18" i="49"/>
  <c r="R18" i="49" s="1"/>
  <c r="P18" i="49"/>
  <c r="V17" i="49"/>
  <c r="W17" i="49" s="1"/>
  <c r="S17" i="49"/>
  <c r="R17" i="49" s="1"/>
  <c r="Y17" i="49" s="1"/>
  <c r="P17" i="49"/>
  <c r="V16" i="49"/>
  <c r="W16" i="49"/>
  <c r="S16" i="49"/>
  <c r="P16" i="49"/>
  <c r="V15" i="49"/>
  <c r="S15" i="49"/>
  <c r="Z15" i="49" s="1"/>
  <c r="P15" i="49"/>
  <c r="V14" i="49"/>
  <c r="W14" i="49" s="1"/>
  <c r="S14" i="49"/>
  <c r="Z14" i="49" s="1"/>
  <c r="P14" i="49"/>
  <c r="V13" i="49"/>
  <c r="W13" i="49" s="1"/>
  <c r="S13" i="49"/>
  <c r="R13" i="49" s="1"/>
  <c r="P13" i="49"/>
  <c r="V12" i="49"/>
  <c r="W12" i="49"/>
  <c r="S12" i="49"/>
  <c r="P12" i="49"/>
  <c r="V11" i="49"/>
  <c r="S11" i="49"/>
  <c r="Z11" i="49" s="1"/>
  <c r="P11" i="49"/>
  <c r="V10" i="49"/>
  <c r="W10" i="49"/>
  <c r="S10" i="49"/>
  <c r="Z10" i="49" s="1"/>
  <c r="P10" i="49"/>
  <c r="V9" i="49"/>
  <c r="S9" i="49"/>
  <c r="Z9" i="49" s="1"/>
  <c r="P9" i="49"/>
  <c r="V8" i="49"/>
  <c r="W8" i="49"/>
  <c r="S8" i="49"/>
  <c r="Z8" i="49" s="1"/>
  <c r="P8" i="49"/>
  <c r="V7" i="49"/>
  <c r="S7" i="49"/>
  <c r="Z7" i="49" s="1"/>
  <c r="P7" i="49"/>
  <c r="W6" i="49"/>
  <c r="V6" i="49"/>
  <c r="S6" i="49"/>
  <c r="Z6" i="49" s="1"/>
  <c r="P6" i="49"/>
  <c r="V5" i="49"/>
  <c r="W5" i="49" s="1"/>
  <c r="S5" i="49"/>
  <c r="R5" i="49" s="1"/>
  <c r="T5" i="49" s="1"/>
  <c r="P5" i="49"/>
  <c r="V4" i="49"/>
  <c r="W4" i="49"/>
  <c r="S4" i="49"/>
  <c r="P4" i="49"/>
  <c r="V3" i="49"/>
  <c r="W3" i="49" s="1"/>
  <c r="S3" i="49"/>
  <c r="R3" i="49" s="1"/>
  <c r="P3" i="49"/>
  <c r="M38" i="50"/>
  <c r="L38" i="50"/>
  <c r="M37" i="50"/>
  <c r="L37" i="50"/>
  <c r="O36" i="50"/>
  <c r="O37" i="50" s="1"/>
  <c r="M36" i="50"/>
  <c r="L36" i="50"/>
  <c r="E36" i="50"/>
  <c r="V33" i="50"/>
  <c r="W33" i="50" s="1"/>
  <c r="S33" i="50"/>
  <c r="P33" i="50"/>
  <c r="V32" i="50"/>
  <c r="W32" i="50" s="1"/>
  <c r="S32" i="50"/>
  <c r="R32" i="50" s="1"/>
  <c r="P32" i="50"/>
  <c r="V31" i="50"/>
  <c r="W31" i="50" s="1"/>
  <c r="S31" i="50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W27" i="50" s="1"/>
  <c r="S27" i="50"/>
  <c r="R27" i="50" s="1"/>
  <c r="P27" i="50"/>
  <c r="V26" i="50"/>
  <c r="W26" i="50"/>
  <c r="S26" i="50"/>
  <c r="P26" i="50"/>
  <c r="V25" i="50"/>
  <c r="S25" i="50"/>
  <c r="P25" i="50"/>
  <c r="V24" i="50"/>
  <c r="W24" i="50" s="1"/>
  <c r="S24" i="50"/>
  <c r="R24" i="50" s="1"/>
  <c r="P24" i="50"/>
  <c r="V23" i="50"/>
  <c r="S23" i="50"/>
  <c r="R23" i="50" s="1"/>
  <c r="P23" i="50"/>
  <c r="V22" i="50"/>
  <c r="W22" i="50" s="1"/>
  <c r="S22" i="50"/>
  <c r="R22" i="50" s="1"/>
  <c r="P22" i="50"/>
  <c r="V21" i="50"/>
  <c r="S21" i="50"/>
  <c r="R21" i="50" s="1"/>
  <c r="T21" i="50" s="1"/>
  <c r="AA21" i="50" s="1"/>
  <c r="P21" i="50"/>
  <c r="V20" i="50"/>
  <c r="W20" i="50" s="1"/>
  <c r="S20" i="50"/>
  <c r="P20" i="50"/>
  <c r="V19" i="50"/>
  <c r="W19" i="50" s="1"/>
  <c r="S19" i="50"/>
  <c r="P19" i="50"/>
  <c r="V18" i="50"/>
  <c r="W18" i="50" s="1"/>
  <c r="S18" i="50"/>
  <c r="P18" i="50"/>
  <c r="V17" i="50"/>
  <c r="W17" i="50" s="1"/>
  <c r="S17" i="50"/>
  <c r="P17" i="50"/>
  <c r="V16" i="50"/>
  <c r="W16" i="50"/>
  <c r="S16" i="50"/>
  <c r="R16" i="50" s="1"/>
  <c r="Y16" i="50" s="1"/>
  <c r="P16" i="50"/>
  <c r="V15" i="50"/>
  <c r="S15" i="50"/>
  <c r="P15" i="50"/>
  <c r="V14" i="50"/>
  <c r="W14" i="50" s="1"/>
  <c r="S14" i="50"/>
  <c r="R14" i="50" s="1"/>
  <c r="T14" i="50" s="1"/>
  <c r="P14" i="50"/>
  <c r="V13" i="50"/>
  <c r="W13" i="50" s="1"/>
  <c r="S13" i="50"/>
  <c r="P13" i="50"/>
  <c r="V12" i="50"/>
  <c r="W12" i="50" s="1"/>
  <c r="S12" i="50"/>
  <c r="P12" i="50"/>
  <c r="V11" i="50"/>
  <c r="S11" i="50"/>
  <c r="P11" i="50"/>
  <c r="V10" i="50"/>
  <c r="W10" i="50"/>
  <c r="S10" i="50"/>
  <c r="P10" i="50"/>
  <c r="V9" i="50"/>
  <c r="W9" i="50" s="1"/>
  <c r="S9" i="50"/>
  <c r="Z9" i="50" s="1"/>
  <c r="P9" i="50"/>
  <c r="V8" i="50"/>
  <c r="S8" i="50"/>
  <c r="R8" i="50" s="1"/>
  <c r="T8" i="50" s="1"/>
  <c r="P8" i="50"/>
  <c r="V7" i="50"/>
  <c r="W7" i="50" s="1"/>
  <c r="S7" i="50"/>
  <c r="P7" i="50"/>
  <c r="V6" i="50"/>
  <c r="S6" i="50"/>
  <c r="R6" i="50" s="1"/>
  <c r="P6" i="50"/>
  <c r="V5" i="50"/>
  <c r="S5" i="50"/>
  <c r="P5" i="50"/>
  <c r="V4" i="50"/>
  <c r="W4" i="50" s="1"/>
  <c r="S4" i="50"/>
  <c r="P4" i="50"/>
  <c r="V3" i="50"/>
  <c r="Z3" i="50" s="1"/>
  <c r="S3" i="50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 s="1"/>
  <c r="S32" i="51"/>
  <c r="P32" i="51"/>
  <c r="V31" i="51"/>
  <c r="W31" i="51" s="1"/>
  <c r="S31" i="51"/>
  <c r="P31" i="51"/>
  <c r="V30" i="51"/>
  <c r="W30" i="51"/>
  <c r="S30" i="51"/>
  <c r="Z30" i="51" s="1"/>
  <c r="P30" i="51"/>
  <c r="V29" i="51"/>
  <c r="S29" i="51"/>
  <c r="P29" i="51"/>
  <c r="V28" i="51"/>
  <c r="W28" i="51" s="1"/>
  <c r="S28" i="51"/>
  <c r="Z28" i="51" s="1"/>
  <c r="P28" i="51"/>
  <c r="V27" i="51"/>
  <c r="S27" i="51"/>
  <c r="P27" i="51"/>
  <c r="V26" i="51"/>
  <c r="W26" i="51" s="1"/>
  <c r="S26" i="51"/>
  <c r="P26" i="51"/>
  <c r="V25" i="51"/>
  <c r="W25" i="51" s="1"/>
  <c r="S25" i="51"/>
  <c r="P25" i="51"/>
  <c r="V24" i="51"/>
  <c r="W24" i="51"/>
  <c r="S24" i="51"/>
  <c r="P24" i="51"/>
  <c r="V23" i="51"/>
  <c r="S23" i="51"/>
  <c r="Z23" i="51" s="1"/>
  <c r="P23" i="51"/>
  <c r="V22" i="51"/>
  <c r="W22" i="51" s="1"/>
  <c r="S22" i="51"/>
  <c r="R22" i="51" s="1"/>
  <c r="P22" i="51"/>
  <c r="V21" i="51"/>
  <c r="W21" i="51" s="1"/>
  <c r="S21" i="51"/>
  <c r="P21" i="51"/>
  <c r="V20" i="51"/>
  <c r="W20" i="51" s="1"/>
  <c r="S20" i="51"/>
  <c r="P20" i="51"/>
  <c r="V19" i="51"/>
  <c r="S19" i="51"/>
  <c r="P19" i="51"/>
  <c r="V18" i="51"/>
  <c r="W18" i="51" s="1"/>
  <c r="S18" i="51"/>
  <c r="P18" i="51"/>
  <c r="V17" i="51"/>
  <c r="W17" i="51" s="1"/>
  <c r="S17" i="51"/>
  <c r="P17" i="51"/>
  <c r="V16" i="51"/>
  <c r="S16" i="51"/>
  <c r="R16" i="51" s="1"/>
  <c r="T16" i="51" s="1"/>
  <c r="P16" i="51"/>
  <c r="V15" i="51"/>
  <c r="W15" i="51" s="1"/>
  <c r="S15" i="51"/>
  <c r="P15" i="51"/>
  <c r="V14" i="51"/>
  <c r="W14" i="51"/>
  <c r="S14" i="51"/>
  <c r="P14" i="51"/>
  <c r="V13" i="51"/>
  <c r="S13" i="51"/>
  <c r="P13" i="51"/>
  <c r="W12" i="51"/>
  <c r="V12" i="51"/>
  <c r="S12" i="51"/>
  <c r="Z12" i="51" s="1"/>
  <c r="P12" i="51"/>
  <c r="V11" i="51"/>
  <c r="W11" i="51" s="1"/>
  <c r="S11" i="51"/>
  <c r="P11" i="51"/>
  <c r="V10" i="51"/>
  <c r="W10" i="51" s="1"/>
  <c r="S10" i="51"/>
  <c r="P10" i="51"/>
  <c r="V9" i="51"/>
  <c r="S9" i="51"/>
  <c r="P9" i="51"/>
  <c r="V8" i="51"/>
  <c r="W8" i="51" s="1"/>
  <c r="S8" i="51"/>
  <c r="R8" i="51" s="1"/>
  <c r="T8" i="51" s="1"/>
  <c r="P8" i="51"/>
  <c r="V7" i="51"/>
  <c r="W7" i="51" s="1"/>
  <c r="S7" i="51"/>
  <c r="P7" i="51"/>
  <c r="V6" i="51"/>
  <c r="W6" i="51"/>
  <c r="S6" i="51"/>
  <c r="Z6" i="51" s="1"/>
  <c r="P6" i="51"/>
  <c r="V5" i="51"/>
  <c r="S5" i="51"/>
  <c r="Z5" i="51" s="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M45" i="52" s="1"/>
  <c r="L37" i="52"/>
  <c r="L44" i="52" s="1"/>
  <c r="O36" i="52"/>
  <c r="O37" i="52" s="1"/>
  <c r="M36" i="52"/>
  <c r="L36" i="52"/>
  <c r="E36" i="52"/>
  <c r="V33" i="52"/>
  <c r="W33" i="52" s="1"/>
  <c r="S33" i="52"/>
  <c r="P33" i="52"/>
  <c r="V32" i="52"/>
  <c r="W32" i="52" s="1"/>
  <c r="S32" i="52"/>
  <c r="P32" i="52"/>
  <c r="V31" i="52"/>
  <c r="W31" i="52" s="1"/>
  <c r="S31" i="52"/>
  <c r="P31" i="52"/>
  <c r="V30" i="52"/>
  <c r="W30" i="52" s="1"/>
  <c r="S30" i="52"/>
  <c r="R30" i="52" s="1"/>
  <c r="T30" i="52" s="1"/>
  <c r="AA30" i="52" s="1"/>
  <c r="P30" i="52"/>
  <c r="V29" i="52"/>
  <c r="S29" i="52"/>
  <c r="P29" i="52"/>
  <c r="V28" i="52"/>
  <c r="W28" i="52" s="1"/>
  <c r="S28" i="52"/>
  <c r="P28" i="52"/>
  <c r="V27" i="52"/>
  <c r="S27" i="52"/>
  <c r="P27" i="52"/>
  <c r="V26" i="52"/>
  <c r="W26" i="52"/>
  <c r="S26" i="52"/>
  <c r="Z26" i="52" s="1"/>
  <c r="P26" i="52"/>
  <c r="V25" i="52"/>
  <c r="W25" i="52" s="1"/>
  <c r="S25" i="52"/>
  <c r="P25" i="52"/>
  <c r="V24" i="52"/>
  <c r="W24" i="52"/>
  <c r="S24" i="52"/>
  <c r="P24" i="52"/>
  <c r="V23" i="52"/>
  <c r="S23" i="52"/>
  <c r="Z23" i="52" s="1"/>
  <c r="P23" i="52"/>
  <c r="W22" i="52"/>
  <c r="V22" i="52"/>
  <c r="S22" i="52"/>
  <c r="R22" i="52" s="1"/>
  <c r="Y22" i="52" s="1"/>
  <c r="P22" i="52"/>
  <c r="V21" i="52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Z18" i="52" s="1"/>
  <c r="P18" i="52"/>
  <c r="V17" i="52"/>
  <c r="S17" i="52"/>
  <c r="P17" i="52"/>
  <c r="V16" i="52"/>
  <c r="W16" i="52" s="1"/>
  <c r="S16" i="52"/>
  <c r="R16" i="52" s="1"/>
  <c r="P16" i="52"/>
  <c r="V15" i="52"/>
  <c r="W15" i="52" s="1"/>
  <c r="S15" i="52"/>
  <c r="P15" i="52"/>
  <c r="V14" i="52"/>
  <c r="W14" i="52" s="1"/>
  <c r="S14" i="52"/>
  <c r="R14" i="52" s="1"/>
  <c r="T14" i="52" s="1"/>
  <c r="P14" i="52"/>
  <c r="V13" i="52"/>
  <c r="W13" i="52" s="1"/>
  <c r="S13" i="52"/>
  <c r="P13" i="52"/>
  <c r="V12" i="52"/>
  <c r="W12" i="52" s="1"/>
  <c r="S12" i="52"/>
  <c r="P12" i="52"/>
  <c r="V11" i="52"/>
  <c r="W11" i="52" s="1"/>
  <c r="S11" i="52"/>
  <c r="P11" i="52"/>
  <c r="V10" i="52"/>
  <c r="W10" i="52"/>
  <c r="S10" i="52"/>
  <c r="P10" i="52"/>
  <c r="V9" i="52"/>
  <c r="S9" i="52"/>
  <c r="Z9" i="52" s="1"/>
  <c r="P9" i="52"/>
  <c r="V8" i="52"/>
  <c r="W8" i="52" s="1"/>
  <c r="S8" i="52"/>
  <c r="R8" i="52" s="1"/>
  <c r="T8" i="52" s="1"/>
  <c r="P8" i="52"/>
  <c r="V7" i="52"/>
  <c r="S7" i="52"/>
  <c r="Z7" i="52" s="1"/>
  <c r="P7" i="52"/>
  <c r="V6" i="52"/>
  <c r="W6" i="52" s="1"/>
  <c r="S6" i="52"/>
  <c r="P6" i="52"/>
  <c r="V5" i="52"/>
  <c r="W5" i="52" s="1"/>
  <c r="S5" i="52"/>
  <c r="R5" i="52" s="1"/>
  <c r="P5" i="52"/>
  <c r="V4" i="52"/>
  <c r="W4" i="52" s="1"/>
  <c r="S4" i="52"/>
  <c r="P4" i="52"/>
  <c r="V3" i="52"/>
  <c r="S3" i="52"/>
  <c r="P3" i="52"/>
  <c r="L44" i="53"/>
  <c r="M38" i="53"/>
  <c r="L38" i="53"/>
  <c r="M37" i="53"/>
  <c r="M44" i="53" s="1"/>
  <c r="M45" i="53"/>
  <c r="L37" i="53"/>
  <c r="L45" i="53" s="1"/>
  <c r="O36" i="53"/>
  <c r="O37" i="53"/>
  <c r="M36" i="53"/>
  <c r="L36" i="53"/>
  <c r="E36" i="53"/>
  <c r="V33" i="53"/>
  <c r="W33" i="53" s="1"/>
  <c r="S33" i="53"/>
  <c r="P33" i="53"/>
  <c r="V32" i="53"/>
  <c r="W32" i="53"/>
  <c r="S32" i="53"/>
  <c r="P32" i="53"/>
  <c r="V31" i="53"/>
  <c r="S31" i="53"/>
  <c r="Z31" i="53" s="1"/>
  <c r="P31" i="53"/>
  <c r="V30" i="53"/>
  <c r="W30" i="53"/>
  <c r="S30" i="53"/>
  <c r="Z30" i="53" s="1"/>
  <c r="P30" i="53"/>
  <c r="V29" i="53"/>
  <c r="S29" i="53"/>
  <c r="P29" i="53"/>
  <c r="W28" i="53"/>
  <c r="V28" i="53"/>
  <c r="S28" i="53"/>
  <c r="Z28" i="53" s="1"/>
  <c r="P28" i="53"/>
  <c r="V27" i="53"/>
  <c r="W27" i="53" s="1"/>
  <c r="S27" i="53"/>
  <c r="P27" i="53"/>
  <c r="V26" i="53"/>
  <c r="W26" i="53"/>
  <c r="S26" i="53"/>
  <c r="P26" i="53"/>
  <c r="V25" i="53"/>
  <c r="W25" i="53" s="1"/>
  <c r="S25" i="53"/>
  <c r="Z25" i="53" s="1"/>
  <c r="P25" i="53"/>
  <c r="V24" i="53"/>
  <c r="W24" i="53" s="1"/>
  <c r="S24" i="53"/>
  <c r="P24" i="53"/>
  <c r="V23" i="53"/>
  <c r="W23" i="53" s="1"/>
  <c r="S23" i="53"/>
  <c r="Z23" i="53" s="1"/>
  <c r="P23" i="53"/>
  <c r="V22" i="53"/>
  <c r="S22" i="53"/>
  <c r="R22" i="53" s="1"/>
  <c r="P22" i="53"/>
  <c r="V21" i="53"/>
  <c r="S21" i="53"/>
  <c r="P21" i="53"/>
  <c r="V20" i="53"/>
  <c r="W20" i="53" s="1"/>
  <c r="S20" i="53"/>
  <c r="P20" i="53"/>
  <c r="V19" i="53"/>
  <c r="W19" i="53" s="1"/>
  <c r="S19" i="53"/>
  <c r="R19" i="53" s="1"/>
  <c r="P19" i="53"/>
  <c r="V18" i="53"/>
  <c r="W18" i="53"/>
  <c r="S18" i="53"/>
  <c r="P18" i="53"/>
  <c r="V17" i="53"/>
  <c r="W17" i="53" s="1"/>
  <c r="S17" i="53"/>
  <c r="P17" i="53"/>
  <c r="V16" i="53"/>
  <c r="W16" i="53" s="1"/>
  <c r="S16" i="53"/>
  <c r="R16" i="53" s="1"/>
  <c r="T16" i="53" s="1"/>
  <c r="P16" i="53"/>
  <c r="V15" i="53"/>
  <c r="S15" i="53"/>
  <c r="P15" i="53"/>
  <c r="V14" i="53"/>
  <c r="W14" i="53"/>
  <c r="S14" i="53"/>
  <c r="P14" i="53"/>
  <c r="V13" i="53"/>
  <c r="S13" i="53"/>
  <c r="P13" i="53"/>
  <c r="V12" i="53"/>
  <c r="W12" i="53" s="1"/>
  <c r="S12" i="53"/>
  <c r="P12" i="53"/>
  <c r="V11" i="53"/>
  <c r="W11" i="53" s="1"/>
  <c r="S11" i="53"/>
  <c r="P11" i="53"/>
  <c r="V10" i="53"/>
  <c r="W10" i="53" s="1"/>
  <c r="S10" i="53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Z6" i="53" s="1"/>
  <c r="P6" i="53"/>
  <c r="V5" i="53"/>
  <c r="S5" i="53"/>
  <c r="P5" i="53"/>
  <c r="V4" i="53"/>
  <c r="W4" i="53" s="1"/>
  <c r="S4" i="53"/>
  <c r="P4" i="53"/>
  <c r="V3" i="53"/>
  <c r="W3" i="53" s="1"/>
  <c r="S3" i="53"/>
  <c r="R3" i="53" s="1"/>
  <c r="P3" i="53"/>
  <c r="M38" i="54"/>
  <c r="L38" i="54"/>
  <c r="M37" i="54"/>
  <c r="L37" i="54"/>
  <c r="O36" i="54"/>
  <c r="O37" i="54"/>
  <c r="M36" i="54"/>
  <c r="L36" i="54"/>
  <c r="E36" i="54"/>
  <c r="V33" i="54"/>
  <c r="W33" i="54" s="1"/>
  <c r="S33" i="54"/>
  <c r="P33" i="54"/>
  <c r="V32" i="54"/>
  <c r="W32" i="54"/>
  <c r="S32" i="54"/>
  <c r="R32" i="54" s="1"/>
  <c r="P32" i="54"/>
  <c r="V31" i="54"/>
  <c r="W31" i="54" s="1"/>
  <c r="S31" i="54"/>
  <c r="Z31" i="54" s="1"/>
  <c r="P31" i="54"/>
  <c r="V30" i="54"/>
  <c r="W30" i="54"/>
  <c r="S30" i="54"/>
  <c r="R30" i="54" s="1"/>
  <c r="P30" i="54"/>
  <c r="V29" i="54"/>
  <c r="S29" i="54"/>
  <c r="Z29" i="54" s="1"/>
  <c r="P29" i="54"/>
  <c r="W28" i="54"/>
  <c r="V28" i="54"/>
  <c r="S28" i="54"/>
  <c r="Z28" i="54" s="1"/>
  <c r="P28" i="54"/>
  <c r="V27" i="54"/>
  <c r="S27" i="54"/>
  <c r="P27" i="54"/>
  <c r="V26" i="54"/>
  <c r="W26" i="54" s="1"/>
  <c r="S26" i="54"/>
  <c r="P26" i="54"/>
  <c r="V25" i="54"/>
  <c r="W25" i="54" s="1"/>
  <c r="S25" i="54"/>
  <c r="P25" i="54"/>
  <c r="V24" i="54"/>
  <c r="W24" i="54" s="1"/>
  <c r="S24" i="54"/>
  <c r="Z24" i="54" s="1"/>
  <c r="P24" i="54"/>
  <c r="V23" i="54"/>
  <c r="W23" i="54" s="1"/>
  <c r="S23" i="54"/>
  <c r="Z23" i="54" s="1"/>
  <c r="P23" i="54"/>
  <c r="V22" i="54"/>
  <c r="W22" i="54" s="1"/>
  <c r="S22" i="54"/>
  <c r="P22" i="54"/>
  <c r="V21" i="54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W17" i="54" s="1"/>
  <c r="S17" i="54"/>
  <c r="P17" i="54"/>
  <c r="V16" i="54"/>
  <c r="W16" i="54" s="1"/>
  <c r="S16" i="54"/>
  <c r="P16" i="54"/>
  <c r="V15" i="54"/>
  <c r="W15" i="54" s="1"/>
  <c r="S15" i="54"/>
  <c r="P15" i="54"/>
  <c r="V14" i="54"/>
  <c r="W14" i="54"/>
  <c r="S14" i="54"/>
  <c r="R14" i="54" s="1"/>
  <c r="T14" i="54" s="1"/>
  <c r="P14" i="54"/>
  <c r="V13" i="54"/>
  <c r="S13" i="54"/>
  <c r="P13" i="54"/>
  <c r="V12" i="54"/>
  <c r="W12" i="54" s="1"/>
  <c r="S12" i="54"/>
  <c r="P12" i="54"/>
  <c r="V11" i="54"/>
  <c r="S11" i="54"/>
  <c r="P11" i="54"/>
  <c r="V10" i="54"/>
  <c r="S10" i="54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Z7" i="54" s="1"/>
  <c r="P7" i="54"/>
  <c r="V6" i="54"/>
  <c r="W6" i="54"/>
  <c r="S6" i="54"/>
  <c r="R6" i="54" s="1"/>
  <c r="Y6" i="54" s="1"/>
  <c r="P6" i="54"/>
  <c r="V5" i="54"/>
  <c r="S5" i="54"/>
  <c r="Z5" i="54" s="1"/>
  <c r="P5" i="54"/>
  <c r="V4" i="54"/>
  <c r="W4" i="54" s="1"/>
  <c r="S4" i="54"/>
  <c r="Z4" i="54" s="1"/>
  <c r="P4" i="54"/>
  <c r="V3" i="54"/>
  <c r="S3" i="54"/>
  <c r="P3" i="54"/>
  <c r="M38" i="55"/>
  <c r="L38" i="55"/>
  <c r="M37" i="55"/>
  <c r="M45" i="55"/>
  <c r="L37" i="55"/>
  <c r="O36" i="55"/>
  <c r="O37" i="55"/>
  <c r="M36" i="55"/>
  <c r="L36" i="55"/>
  <c r="E36" i="55"/>
  <c r="V33" i="55"/>
  <c r="W33" i="55" s="1"/>
  <c r="S33" i="55"/>
  <c r="P33" i="55"/>
  <c r="V32" i="55"/>
  <c r="W32" i="55"/>
  <c r="S32" i="55"/>
  <c r="R32" i="55" s="1"/>
  <c r="T32" i="55" s="1"/>
  <c r="P32" i="55"/>
  <c r="V31" i="55"/>
  <c r="W31" i="55" s="1"/>
  <c r="S31" i="55"/>
  <c r="P31" i="55"/>
  <c r="V30" i="55"/>
  <c r="W30" i="55"/>
  <c r="S30" i="55"/>
  <c r="P30" i="55"/>
  <c r="V29" i="55"/>
  <c r="S29" i="55"/>
  <c r="Z29" i="55" s="1"/>
  <c r="P29" i="55"/>
  <c r="V28" i="55"/>
  <c r="W28" i="55" s="1"/>
  <c r="S28" i="55"/>
  <c r="P28" i="55"/>
  <c r="V27" i="55"/>
  <c r="W27" i="55" s="1"/>
  <c r="S27" i="55"/>
  <c r="P27" i="55"/>
  <c r="V26" i="55"/>
  <c r="W26" i="55" s="1"/>
  <c r="S26" i="55"/>
  <c r="Z26" i="55" s="1"/>
  <c r="P26" i="55"/>
  <c r="V25" i="55"/>
  <c r="S25" i="55"/>
  <c r="P25" i="55"/>
  <c r="W24" i="55"/>
  <c r="V24" i="55"/>
  <c r="S24" i="55"/>
  <c r="R24" i="55" s="1"/>
  <c r="T24" i="55" s="1"/>
  <c r="P24" i="55"/>
  <c r="V23" i="55"/>
  <c r="S23" i="55"/>
  <c r="P23" i="55"/>
  <c r="V22" i="55"/>
  <c r="W22" i="55" s="1"/>
  <c r="S22" i="55"/>
  <c r="P22" i="55"/>
  <c r="V21" i="55"/>
  <c r="W21" i="55" s="1"/>
  <c r="S21" i="55"/>
  <c r="P21" i="55"/>
  <c r="V20" i="55"/>
  <c r="W20" i="55"/>
  <c r="S20" i="55"/>
  <c r="P20" i="55"/>
  <c r="V19" i="55"/>
  <c r="S19" i="55"/>
  <c r="Z19" i="55" s="1"/>
  <c r="P19" i="55"/>
  <c r="V18" i="55"/>
  <c r="W18" i="55" s="1"/>
  <c r="S18" i="55"/>
  <c r="P18" i="55"/>
  <c r="V17" i="55"/>
  <c r="W17" i="55" s="1"/>
  <c r="S17" i="55"/>
  <c r="P17" i="55"/>
  <c r="V16" i="55"/>
  <c r="W16" i="55"/>
  <c r="S16" i="55"/>
  <c r="R16" i="55" s="1"/>
  <c r="T16" i="55" s="1"/>
  <c r="P16" i="55"/>
  <c r="V15" i="55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P11" i="55"/>
  <c r="V10" i="55"/>
  <c r="W10" i="55" s="1"/>
  <c r="S10" i="55"/>
  <c r="R10" i="55" s="1"/>
  <c r="P10" i="55"/>
  <c r="V9" i="55"/>
  <c r="S9" i="55"/>
  <c r="P9" i="55"/>
  <c r="V8" i="55"/>
  <c r="W8" i="55" s="1"/>
  <c r="S8" i="55"/>
  <c r="R8" i="55" s="1"/>
  <c r="P8" i="55"/>
  <c r="V7" i="55"/>
  <c r="S7" i="55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S3" i="55"/>
  <c r="P3" i="55"/>
  <c r="L44" i="56"/>
  <c r="M38" i="56"/>
  <c r="L38" i="56"/>
  <c r="M37" i="56"/>
  <c r="M45" i="56"/>
  <c r="L37" i="56"/>
  <c r="L45" i="56" s="1"/>
  <c r="O36" i="56"/>
  <c r="O37" i="56"/>
  <c r="M36" i="56"/>
  <c r="L36" i="56"/>
  <c r="E36" i="56"/>
  <c r="V33" i="56"/>
  <c r="S33" i="56"/>
  <c r="Z33" i="56" s="1"/>
  <c r="P33" i="56"/>
  <c r="V32" i="56"/>
  <c r="W32" i="56" s="1"/>
  <c r="S32" i="56"/>
  <c r="R32" i="56" s="1"/>
  <c r="Y32" i="56" s="1"/>
  <c r="P32" i="56"/>
  <c r="V31" i="56"/>
  <c r="S31" i="56"/>
  <c r="P31" i="56"/>
  <c r="W30" i="56"/>
  <c r="V30" i="56"/>
  <c r="S30" i="56"/>
  <c r="P30" i="56"/>
  <c r="V29" i="56"/>
  <c r="W29" i="56" s="1"/>
  <c r="S29" i="56"/>
  <c r="P29" i="56"/>
  <c r="V28" i="56"/>
  <c r="W28" i="56"/>
  <c r="S28" i="56"/>
  <c r="P28" i="56"/>
  <c r="V27" i="56"/>
  <c r="S27" i="56"/>
  <c r="P27" i="56"/>
  <c r="V26" i="56"/>
  <c r="W26" i="56"/>
  <c r="S26" i="56"/>
  <c r="P26" i="56"/>
  <c r="V25" i="56"/>
  <c r="W25" i="56" s="1"/>
  <c r="S25" i="56"/>
  <c r="P25" i="56"/>
  <c r="V24" i="56"/>
  <c r="W24" i="56" s="1"/>
  <c r="S24" i="56"/>
  <c r="R24" i="56" s="1"/>
  <c r="P24" i="56"/>
  <c r="V23" i="56"/>
  <c r="S23" i="56"/>
  <c r="P23" i="56"/>
  <c r="V22" i="56"/>
  <c r="W22" i="56" s="1"/>
  <c r="S22" i="56"/>
  <c r="P22" i="56"/>
  <c r="V21" i="56"/>
  <c r="S21" i="56"/>
  <c r="P21" i="56"/>
  <c r="V20" i="56"/>
  <c r="W20" i="56"/>
  <c r="S20" i="56"/>
  <c r="P20" i="56"/>
  <c r="V19" i="56"/>
  <c r="W19" i="56" s="1"/>
  <c r="S19" i="56"/>
  <c r="P19" i="56"/>
  <c r="V18" i="56"/>
  <c r="W18" i="56" s="1"/>
  <c r="S18" i="56"/>
  <c r="P18" i="56"/>
  <c r="V17" i="56"/>
  <c r="S17" i="56"/>
  <c r="P17" i="56"/>
  <c r="V16" i="56"/>
  <c r="W16" i="56" s="1"/>
  <c r="S16" i="56"/>
  <c r="P16" i="56"/>
  <c r="V15" i="56"/>
  <c r="W15" i="56" s="1"/>
  <c r="S15" i="56"/>
  <c r="P15" i="56"/>
  <c r="V14" i="56"/>
  <c r="W14" i="56" s="1"/>
  <c r="S14" i="56"/>
  <c r="Z14" i="56" s="1"/>
  <c r="P14" i="56"/>
  <c r="V13" i="56"/>
  <c r="S13" i="56"/>
  <c r="P13" i="56"/>
  <c r="V12" i="56"/>
  <c r="W12" i="56" s="1"/>
  <c r="S12" i="56"/>
  <c r="P12" i="56"/>
  <c r="V11" i="56"/>
  <c r="S11" i="56"/>
  <c r="P11" i="56"/>
  <c r="V10" i="56"/>
  <c r="W10" i="56" s="1"/>
  <c r="S10" i="56"/>
  <c r="P10" i="56"/>
  <c r="V9" i="56"/>
  <c r="W9" i="56" s="1"/>
  <c r="S9" i="56"/>
  <c r="R9" i="56" s="1"/>
  <c r="T9" i="56" s="1"/>
  <c r="AA9" i="56" s="1"/>
  <c r="P9" i="56"/>
  <c r="V8" i="56"/>
  <c r="W8" i="56" s="1"/>
  <c r="S8" i="56"/>
  <c r="Z8" i="56" s="1"/>
  <c r="P8" i="56"/>
  <c r="V7" i="56"/>
  <c r="S7" i="56"/>
  <c r="Z7" i="56" s="1"/>
  <c r="P7" i="56"/>
  <c r="V6" i="56"/>
  <c r="S6" i="56"/>
  <c r="P6" i="56"/>
  <c r="V5" i="56"/>
  <c r="W5" i="56" s="1"/>
  <c r="S5" i="56"/>
  <c r="R5" i="56" s="1"/>
  <c r="P5" i="56"/>
  <c r="V4" i="56"/>
  <c r="W4" i="56"/>
  <c r="S4" i="56"/>
  <c r="P4" i="56"/>
  <c r="V3" i="56"/>
  <c r="W3" i="56" s="1"/>
  <c r="S3" i="56"/>
  <c r="R3" i="56" s="1"/>
  <c r="P3" i="56"/>
  <c r="M38" i="57"/>
  <c r="L38" i="57"/>
  <c r="M37" i="57"/>
  <c r="L37" i="57"/>
  <c r="L44" i="57"/>
  <c r="O36" i="57"/>
  <c r="O37" i="57" s="1"/>
  <c r="M36" i="57"/>
  <c r="L36" i="57"/>
  <c r="E36" i="57"/>
  <c r="V33" i="57"/>
  <c r="W33" i="57" s="1"/>
  <c r="S33" i="57"/>
  <c r="Z33" i="57" s="1"/>
  <c r="P33" i="57"/>
  <c r="V32" i="57"/>
  <c r="W32" i="57" s="1"/>
  <c r="S32" i="57"/>
  <c r="P32" i="57"/>
  <c r="V31" i="57"/>
  <c r="S31" i="57"/>
  <c r="Z31" i="57" s="1"/>
  <c r="P31" i="57"/>
  <c r="V30" i="57"/>
  <c r="W30" i="57" s="1"/>
  <c r="S30" i="57"/>
  <c r="Z30" i="57" s="1"/>
  <c r="P30" i="57"/>
  <c r="V29" i="57"/>
  <c r="S29" i="57"/>
  <c r="P29" i="57"/>
  <c r="V28" i="57"/>
  <c r="W28" i="57" s="1"/>
  <c r="S28" i="57"/>
  <c r="P28" i="57"/>
  <c r="V27" i="57"/>
  <c r="W27" i="57" s="1"/>
  <c r="S27" i="57"/>
  <c r="P27" i="57"/>
  <c r="V26" i="57"/>
  <c r="W26" i="57" s="1"/>
  <c r="S26" i="57"/>
  <c r="P26" i="57"/>
  <c r="V25" i="57"/>
  <c r="S25" i="57"/>
  <c r="P25" i="57"/>
  <c r="V24" i="57"/>
  <c r="W24" i="57" s="1"/>
  <c r="S24" i="57"/>
  <c r="P24" i="57"/>
  <c r="V23" i="57"/>
  <c r="S23" i="57"/>
  <c r="P23" i="57"/>
  <c r="V22" i="57"/>
  <c r="W22" i="57" s="1"/>
  <c r="S22" i="57"/>
  <c r="P22" i="57"/>
  <c r="V21" i="57"/>
  <c r="S21" i="57"/>
  <c r="P21" i="57"/>
  <c r="V20" i="57"/>
  <c r="W20" i="57" s="1"/>
  <c r="S20" i="57"/>
  <c r="P20" i="57"/>
  <c r="V19" i="57"/>
  <c r="S19" i="57"/>
  <c r="P19" i="57"/>
  <c r="W18" i="57"/>
  <c r="V18" i="57"/>
  <c r="S18" i="57"/>
  <c r="P18" i="57"/>
  <c r="V17" i="57"/>
  <c r="W17" i="57" s="1"/>
  <c r="S17" i="57"/>
  <c r="P17" i="57"/>
  <c r="V16" i="57"/>
  <c r="W16" i="57" s="1"/>
  <c r="S16" i="57"/>
  <c r="Z16" i="57" s="1"/>
  <c r="P16" i="57"/>
  <c r="V15" i="57"/>
  <c r="S15" i="57"/>
  <c r="Z15" i="57" s="1"/>
  <c r="P15" i="57"/>
  <c r="V14" i="57"/>
  <c r="W14" i="57" s="1"/>
  <c r="S14" i="57"/>
  <c r="P14" i="57"/>
  <c r="V13" i="57"/>
  <c r="W13" i="57" s="1"/>
  <c r="S13" i="57"/>
  <c r="P13" i="57"/>
  <c r="V12" i="57"/>
  <c r="S12" i="57"/>
  <c r="R12" i="57" s="1"/>
  <c r="T12" i="57" s="1"/>
  <c r="P12" i="57"/>
  <c r="V11" i="57"/>
  <c r="W11" i="57" s="1"/>
  <c r="S11" i="57"/>
  <c r="Z11" i="57" s="1"/>
  <c r="P11" i="57"/>
  <c r="V10" i="57"/>
  <c r="W10" i="57" s="1"/>
  <c r="S10" i="57"/>
  <c r="P10" i="57"/>
  <c r="V9" i="57"/>
  <c r="W9" i="57" s="1"/>
  <c r="S9" i="57"/>
  <c r="P9" i="57"/>
  <c r="V8" i="57"/>
  <c r="W8" i="57"/>
  <c r="S8" i="57"/>
  <c r="P8" i="57"/>
  <c r="V7" i="57"/>
  <c r="S7" i="57"/>
  <c r="P7" i="57"/>
  <c r="V6" i="57"/>
  <c r="S6" i="57"/>
  <c r="Z6" i="57" s="1"/>
  <c r="P6" i="57"/>
  <c r="V5" i="57"/>
  <c r="W5" i="57" s="1"/>
  <c r="S5" i="57"/>
  <c r="P5" i="57"/>
  <c r="V4" i="57"/>
  <c r="W4" i="57" s="1"/>
  <c r="S4" i="57"/>
  <c r="P4" i="57"/>
  <c r="V3" i="57"/>
  <c r="S3" i="57"/>
  <c r="P3" i="57"/>
  <c r="M38" i="58"/>
  <c r="L38" i="58"/>
  <c r="M37" i="58"/>
  <c r="M45" i="58"/>
  <c r="L37" i="58"/>
  <c r="L44" i="58" s="1"/>
  <c r="O36" i="58"/>
  <c r="O37" i="58"/>
  <c r="M36" i="58"/>
  <c r="L36" i="58"/>
  <c r="E36" i="58"/>
  <c r="V33" i="58"/>
  <c r="S33" i="58"/>
  <c r="P33" i="58"/>
  <c r="V32" i="58"/>
  <c r="W32" i="58" s="1"/>
  <c r="S32" i="58"/>
  <c r="P32" i="58"/>
  <c r="V31" i="58"/>
  <c r="S31" i="58"/>
  <c r="P31" i="58"/>
  <c r="V30" i="58"/>
  <c r="W30" i="58" s="1"/>
  <c r="S30" i="58"/>
  <c r="P30" i="58"/>
  <c r="V29" i="58"/>
  <c r="S29" i="58"/>
  <c r="P29" i="58"/>
  <c r="V28" i="58"/>
  <c r="W28" i="58" s="1"/>
  <c r="S28" i="58"/>
  <c r="P28" i="58"/>
  <c r="V27" i="58"/>
  <c r="S27" i="58"/>
  <c r="P27" i="58"/>
  <c r="V26" i="58"/>
  <c r="S26" i="58"/>
  <c r="P26" i="58"/>
  <c r="V25" i="58"/>
  <c r="S25" i="58"/>
  <c r="P25" i="58"/>
  <c r="V24" i="58"/>
  <c r="W24" i="58"/>
  <c r="S24" i="58"/>
  <c r="Z24" i="58" s="1"/>
  <c r="P24" i="58"/>
  <c r="V23" i="58"/>
  <c r="S23" i="58"/>
  <c r="Z23" i="58" s="1"/>
  <c r="P23" i="58"/>
  <c r="W22" i="58"/>
  <c r="V22" i="58"/>
  <c r="S22" i="58"/>
  <c r="P22" i="58"/>
  <c r="V21" i="58"/>
  <c r="S21" i="58"/>
  <c r="P21" i="58"/>
  <c r="V20" i="58"/>
  <c r="W20" i="58" s="1"/>
  <c r="S20" i="58"/>
  <c r="P20" i="58"/>
  <c r="V19" i="58"/>
  <c r="S19" i="58"/>
  <c r="P19" i="58"/>
  <c r="V18" i="58"/>
  <c r="W18" i="58"/>
  <c r="S18" i="58"/>
  <c r="Z18" i="58" s="1"/>
  <c r="P18" i="58"/>
  <c r="V17" i="58"/>
  <c r="S17" i="58"/>
  <c r="P17" i="58"/>
  <c r="V16" i="58"/>
  <c r="W16" i="58" s="1"/>
  <c r="S16" i="58"/>
  <c r="P16" i="58"/>
  <c r="V15" i="58"/>
  <c r="S15" i="58"/>
  <c r="P15" i="58"/>
  <c r="V14" i="58"/>
  <c r="W14" i="58" s="1"/>
  <c r="S14" i="58"/>
  <c r="P14" i="58"/>
  <c r="V13" i="58"/>
  <c r="S13" i="58"/>
  <c r="P13" i="58"/>
  <c r="V12" i="58"/>
  <c r="W12" i="58"/>
  <c r="S12" i="58"/>
  <c r="P12" i="58"/>
  <c r="V11" i="58"/>
  <c r="W11" i="58" s="1"/>
  <c r="S11" i="58"/>
  <c r="Z11" i="58" s="1"/>
  <c r="P11" i="58"/>
  <c r="V10" i="58"/>
  <c r="Y10" i="58" s="1"/>
  <c r="S10" i="58"/>
  <c r="R10" i="58" s="1"/>
  <c r="T10" i="58" s="1"/>
  <c r="P10" i="58"/>
  <c r="V9" i="58"/>
  <c r="S9" i="58"/>
  <c r="P9" i="58"/>
  <c r="V8" i="58"/>
  <c r="W8" i="58" s="1"/>
  <c r="S8" i="58"/>
  <c r="P8" i="58"/>
  <c r="V7" i="58"/>
  <c r="S7" i="58"/>
  <c r="P7" i="58"/>
  <c r="V6" i="58"/>
  <c r="W6" i="58" s="1"/>
  <c r="S6" i="58"/>
  <c r="P6" i="58"/>
  <c r="V5" i="58"/>
  <c r="W5" i="58" s="1"/>
  <c r="S5" i="58"/>
  <c r="P5" i="58"/>
  <c r="V4" i="58"/>
  <c r="W4" i="58"/>
  <c r="S4" i="58"/>
  <c r="P4" i="58"/>
  <c r="V3" i="58"/>
  <c r="W3" i="58" s="1"/>
  <c r="S3" i="58"/>
  <c r="P3" i="58"/>
  <c r="M38" i="59"/>
  <c r="L38" i="59"/>
  <c r="M37" i="59"/>
  <c r="L37" i="59"/>
  <c r="L45" i="59" s="1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P30" i="59"/>
  <c r="V29" i="59"/>
  <c r="W29" i="59" s="1"/>
  <c r="S29" i="59"/>
  <c r="Z29" i="59" s="1"/>
  <c r="P29" i="59"/>
  <c r="V28" i="59"/>
  <c r="W28" i="59" s="1"/>
  <c r="S28" i="59"/>
  <c r="P28" i="59"/>
  <c r="V27" i="59"/>
  <c r="W27" i="59" s="1"/>
  <c r="S27" i="59"/>
  <c r="P27" i="59"/>
  <c r="V26" i="59"/>
  <c r="W26" i="59" s="1"/>
  <c r="S26" i="59"/>
  <c r="P26" i="59"/>
  <c r="V25" i="59"/>
  <c r="W25" i="59" s="1"/>
  <c r="S25" i="59"/>
  <c r="Z25" i="59" s="1"/>
  <c r="P25" i="59"/>
  <c r="V24" i="59"/>
  <c r="W24" i="59" s="1"/>
  <c r="S24" i="59"/>
  <c r="R24" i="59" s="1"/>
  <c r="P24" i="59"/>
  <c r="W23" i="59"/>
  <c r="V23" i="59"/>
  <c r="S23" i="59"/>
  <c r="R23" i="59" s="1"/>
  <c r="Y23" i="59" s="1"/>
  <c r="P23" i="59"/>
  <c r="V22" i="59"/>
  <c r="W22" i="59" s="1"/>
  <c r="S22" i="59"/>
  <c r="R22" i="59" s="1"/>
  <c r="P22" i="59"/>
  <c r="V21" i="59"/>
  <c r="W21" i="59" s="1"/>
  <c r="S21" i="59"/>
  <c r="P21" i="59"/>
  <c r="V20" i="59"/>
  <c r="W20" i="59" s="1"/>
  <c r="S20" i="59"/>
  <c r="Z20" i="59" s="1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P17" i="59"/>
  <c r="V16" i="59"/>
  <c r="W16" i="59" s="1"/>
  <c r="S16" i="59"/>
  <c r="Z16" i="59" s="1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Z12" i="59" s="1"/>
  <c r="P12" i="59"/>
  <c r="V11" i="59"/>
  <c r="W11" i="59" s="1"/>
  <c r="S11" i="59"/>
  <c r="P11" i="59"/>
  <c r="V10" i="59"/>
  <c r="W10" i="59" s="1"/>
  <c r="S10" i="59"/>
  <c r="P10" i="59"/>
  <c r="V9" i="59"/>
  <c r="W9" i="59" s="1"/>
  <c r="S9" i="59"/>
  <c r="P9" i="59"/>
  <c r="V8" i="59"/>
  <c r="W8" i="59" s="1"/>
  <c r="S8" i="59"/>
  <c r="R8" i="59" s="1"/>
  <c r="Y8" i="59" s="1"/>
  <c r="P8" i="59"/>
  <c r="V7" i="59"/>
  <c r="W7" i="59" s="1"/>
  <c r="S7" i="59"/>
  <c r="R7" i="59" s="1"/>
  <c r="T7" i="59" s="1"/>
  <c r="P7" i="59"/>
  <c r="V6" i="59"/>
  <c r="W6" i="59" s="1"/>
  <c r="S6" i="59"/>
  <c r="P6" i="59"/>
  <c r="V5" i="59"/>
  <c r="W5" i="59" s="1"/>
  <c r="S5" i="59"/>
  <c r="P5" i="59"/>
  <c r="V4" i="59"/>
  <c r="W4" i="59" s="1"/>
  <c r="S4" i="59"/>
  <c r="R4" i="59" s="1"/>
  <c r="Y4" i="59" s="1"/>
  <c r="P4" i="59"/>
  <c r="V3" i="59"/>
  <c r="S3" i="59"/>
  <c r="P3" i="59"/>
  <c r="P6" i="60"/>
  <c r="S4" i="60"/>
  <c r="S5" i="60"/>
  <c r="S6" i="60"/>
  <c r="S7" i="60"/>
  <c r="S8" i="60"/>
  <c r="R8" i="60" s="1"/>
  <c r="S9" i="60"/>
  <c r="S10" i="60"/>
  <c r="S11" i="60"/>
  <c r="R11" i="60" s="1"/>
  <c r="T11" i="60" s="1"/>
  <c r="S12" i="60"/>
  <c r="R12" i="60" s="1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Y23" i="60" s="1"/>
  <c r="S24" i="60"/>
  <c r="S25" i="60"/>
  <c r="S26" i="60"/>
  <c r="R26" i="60" s="1"/>
  <c r="T26" i="60" s="1"/>
  <c r="S27" i="60"/>
  <c r="R27" i="60" s="1"/>
  <c r="T27" i="60" s="1"/>
  <c r="S28" i="60"/>
  <c r="S29" i="60"/>
  <c r="R29" i="60" s="1"/>
  <c r="S30" i="60"/>
  <c r="R30" i="60" s="1"/>
  <c r="S31" i="60"/>
  <c r="S32" i="60"/>
  <c r="R32" i="60" s="1"/>
  <c r="S33" i="60"/>
  <c r="S3" i="60"/>
  <c r="R3" i="60" s="1"/>
  <c r="T3" i="60" s="1"/>
  <c r="M38" i="60"/>
  <c r="L38" i="60"/>
  <c r="M37" i="60"/>
  <c r="M45" i="60"/>
  <c r="L37" i="60"/>
  <c r="O36" i="60"/>
  <c r="O37" i="60"/>
  <c r="M36" i="60"/>
  <c r="L36" i="60"/>
  <c r="E36" i="60"/>
  <c r="V33" i="60"/>
  <c r="W33" i="60" s="1"/>
  <c r="P33" i="60"/>
  <c r="V32" i="60"/>
  <c r="W32" i="60" s="1"/>
  <c r="P32" i="60"/>
  <c r="V31" i="60"/>
  <c r="P31" i="60"/>
  <c r="V30" i="60"/>
  <c r="W30" i="60" s="1"/>
  <c r="P30" i="60"/>
  <c r="V29" i="60"/>
  <c r="Z29" i="60" s="1"/>
  <c r="P29" i="60"/>
  <c r="V28" i="60"/>
  <c r="W28" i="60"/>
  <c r="P28" i="60"/>
  <c r="V27" i="60"/>
  <c r="Y27" i="60" s="1"/>
  <c r="P27" i="60"/>
  <c r="V26" i="60"/>
  <c r="P26" i="60"/>
  <c r="V25" i="60"/>
  <c r="W25" i="60" s="1"/>
  <c r="P25" i="60"/>
  <c r="V24" i="60"/>
  <c r="W24" i="60"/>
  <c r="P24" i="60"/>
  <c r="V23" i="60"/>
  <c r="W23" i="60" s="1"/>
  <c r="P23" i="60"/>
  <c r="V22" i="60"/>
  <c r="W22" i="60" s="1"/>
  <c r="P22" i="60"/>
  <c r="V21" i="60"/>
  <c r="P21" i="60"/>
  <c r="V20" i="60"/>
  <c r="W20" i="60" s="1"/>
  <c r="P20" i="60"/>
  <c r="V19" i="60"/>
  <c r="W19" i="60" s="1"/>
  <c r="P19" i="60"/>
  <c r="V18" i="60"/>
  <c r="W18" i="60" s="1"/>
  <c r="P18" i="60"/>
  <c r="V17" i="60"/>
  <c r="W17" i="60" s="1"/>
  <c r="P17" i="60"/>
  <c r="V16" i="60"/>
  <c r="W16" i="60"/>
  <c r="P16" i="60"/>
  <c r="V15" i="60"/>
  <c r="W15" i="60" s="1"/>
  <c r="P15" i="60"/>
  <c r="V14" i="60"/>
  <c r="W14" i="60" s="1"/>
  <c r="P14" i="60"/>
  <c r="V13" i="60"/>
  <c r="W13" i="60" s="1"/>
  <c r="P13" i="60"/>
  <c r="V12" i="60"/>
  <c r="W12" i="60"/>
  <c r="P12" i="60"/>
  <c r="V11" i="60"/>
  <c r="P11" i="60"/>
  <c r="V10" i="60"/>
  <c r="W10" i="60" s="1"/>
  <c r="P10" i="60"/>
  <c r="V9" i="60"/>
  <c r="P9" i="60"/>
  <c r="V8" i="60"/>
  <c r="W8" i="60" s="1"/>
  <c r="P8" i="60"/>
  <c r="V7" i="60"/>
  <c r="P7" i="60"/>
  <c r="V6" i="60"/>
  <c r="V5" i="60"/>
  <c r="P5" i="60"/>
  <c r="V4" i="60"/>
  <c r="W4" i="60" s="1"/>
  <c r="P4" i="60"/>
  <c r="V3" i="60"/>
  <c r="P3" i="60"/>
  <c r="AM41" i="23"/>
  <c r="R41" i="23" s="1"/>
  <c r="R41" i="24" s="1"/>
  <c r="AM40" i="23"/>
  <c r="H40" i="23" s="1"/>
  <c r="H40" i="24" s="1"/>
  <c r="AM39" i="23"/>
  <c r="V39" i="23" s="1"/>
  <c r="V39" i="24" s="1"/>
  <c r="AM38" i="23"/>
  <c r="AM37" i="23"/>
  <c r="X37" i="23" s="1"/>
  <c r="X37" i="24" s="1"/>
  <c r="AM36" i="23"/>
  <c r="AM35" i="23"/>
  <c r="AM35" i="24" s="1"/>
  <c r="AM34" i="23"/>
  <c r="AM33" i="23"/>
  <c r="AM32" i="23"/>
  <c r="AM31" i="23"/>
  <c r="J31" i="23" s="1"/>
  <c r="J31" i="24" s="1"/>
  <c r="AM30" i="23"/>
  <c r="AM29" i="23"/>
  <c r="I29" i="23" s="1"/>
  <c r="I29" i="24" s="1"/>
  <c r="AM28" i="23"/>
  <c r="B28" i="23" s="1"/>
  <c r="AM27" i="23"/>
  <c r="AF27" i="23" s="1"/>
  <c r="AF27" i="24" s="1"/>
  <c r="AM26" i="23"/>
  <c r="AM25" i="23"/>
  <c r="AC25" i="23" s="1"/>
  <c r="AM24" i="23"/>
  <c r="D24" i="23" s="1"/>
  <c r="D24" i="24" s="1"/>
  <c r="AM23" i="23"/>
  <c r="E23" i="23" s="1"/>
  <c r="E23" i="24" s="1"/>
  <c r="AM22" i="23"/>
  <c r="AM21" i="23"/>
  <c r="AM20" i="23"/>
  <c r="B20" i="23" s="1"/>
  <c r="B20" i="24" s="1"/>
  <c r="AM19" i="23"/>
  <c r="X19" i="23" s="1"/>
  <c r="X19" i="24" s="1"/>
  <c r="AM18" i="23"/>
  <c r="AM17" i="23"/>
  <c r="AM16" i="23"/>
  <c r="I16" i="23" s="1"/>
  <c r="I16" i="24" s="1"/>
  <c r="AM15" i="23"/>
  <c r="K15" i="23" s="1"/>
  <c r="K15" i="24" s="1"/>
  <c r="AM14" i="23"/>
  <c r="AM13" i="23"/>
  <c r="AM12" i="23"/>
  <c r="AM11" i="23"/>
  <c r="AM22" i="24"/>
  <c r="D104" i="27"/>
  <c r="D105" i="25" s="1"/>
  <c r="AX33" i="28"/>
  <c r="AS33" i="28"/>
  <c r="AR33" i="28"/>
  <c r="AQ33" i="28"/>
  <c r="AK33" i="28"/>
  <c r="AJ33" i="28"/>
  <c r="AI33" i="28"/>
  <c r="AH33" i="28"/>
  <c r="P33" i="28"/>
  <c r="AX32" i="28"/>
  <c r="AS32" i="28"/>
  <c r="AR32" i="28"/>
  <c r="AQ32" i="28"/>
  <c r="AK32" i="28"/>
  <c r="AJ32" i="28"/>
  <c r="AI32" i="28"/>
  <c r="AH32" i="28"/>
  <c r="P32" i="28"/>
  <c r="AX31" i="28"/>
  <c r="AS31" i="28"/>
  <c r="AR31" i="28"/>
  <c r="AQ31" i="28"/>
  <c r="AK31" i="28"/>
  <c r="AJ31" i="28"/>
  <c r="AI31" i="28"/>
  <c r="AH31" i="28"/>
  <c r="P31" i="28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E50" i="22"/>
  <c r="AD50" i="22"/>
  <c r="AC50" i="22"/>
  <c r="AO11" i="23"/>
  <c r="AO11" i="24" s="1"/>
  <c r="AO12" i="23"/>
  <c r="AO12" i="24" s="1"/>
  <c r="AO13" i="23"/>
  <c r="AO13" i="24" s="1"/>
  <c r="AO14" i="23"/>
  <c r="AO14" i="24" s="1"/>
  <c r="AO15" i="23"/>
  <c r="AO15" i="24" s="1"/>
  <c r="AO16" i="23"/>
  <c r="AO16" i="24" s="1"/>
  <c r="AO17" i="23"/>
  <c r="AO17" i="24" s="1"/>
  <c r="AO18" i="23"/>
  <c r="AO18" i="24" s="1"/>
  <c r="AO19" i="23"/>
  <c r="AO20" i="23"/>
  <c r="AO20" i="24" s="1"/>
  <c r="AO21" i="23"/>
  <c r="AO21" i="24" s="1"/>
  <c r="AO22" i="23"/>
  <c r="AO22" i="24" s="1"/>
  <c r="AO23" i="23"/>
  <c r="AO23" i="24" s="1"/>
  <c r="AO24" i="23"/>
  <c r="AO24" i="24" s="1"/>
  <c r="AE44" i="22"/>
  <c r="AD44" i="22"/>
  <c r="AC44" i="22"/>
  <c r="AM50" i="22"/>
  <c r="E53" i="26" s="1"/>
  <c r="D53" i="26" s="1"/>
  <c r="AM44" i="22"/>
  <c r="E14" i="23"/>
  <c r="E14" i="24" s="1"/>
  <c r="F22" i="23"/>
  <c r="F22" i="24" s="1"/>
  <c r="J15" i="23"/>
  <c r="J15" i="24" s="1"/>
  <c r="K22" i="23"/>
  <c r="K22" i="24" s="1"/>
  <c r="O27" i="23"/>
  <c r="O27" i="24" s="1"/>
  <c r="R26" i="23"/>
  <c r="R26" i="24" s="1"/>
  <c r="S26" i="23"/>
  <c r="S26" i="24" s="1"/>
  <c r="W38" i="23"/>
  <c r="W38" i="24" s="1"/>
  <c r="AA18" i="23"/>
  <c r="AA18" i="24" s="1"/>
  <c r="AB11" i="23"/>
  <c r="AB11" i="24" s="1"/>
  <c r="AF11" i="23"/>
  <c r="AX5" i="28"/>
  <c r="AX21" i="28"/>
  <c r="AX20" i="28"/>
  <c r="AX19" i="28"/>
  <c r="AX18" i="28"/>
  <c r="AX17" i="28"/>
  <c r="AX16" i="28"/>
  <c r="AX15" i="28"/>
  <c r="AX14" i="28"/>
  <c r="AX13" i="28"/>
  <c r="AX12" i="28"/>
  <c r="AX11" i="28"/>
  <c r="AX10" i="28"/>
  <c r="AX9" i="28"/>
  <c r="AX8" i="28"/>
  <c r="AX7" i="28"/>
  <c r="AX4" i="28"/>
  <c r="AX3" i="28"/>
  <c r="AO19" i="24"/>
  <c r="AO25" i="23"/>
  <c r="AO25" i="24" s="1"/>
  <c r="AO26" i="23"/>
  <c r="AO26" i="24" s="1"/>
  <c r="AO27" i="23"/>
  <c r="AO27" i="24" s="1"/>
  <c r="AO28" i="23"/>
  <c r="AO28" i="24" s="1"/>
  <c r="AO29" i="23"/>
  <c r="AO29" i="24" s="1"/>
  <c r="AO30" i="23"/>
  <c r="AO30" i="24" s="1"/>
  <c r="AO31" i="23"/>
  <c r="AO31" i="24" s="1"/>
  <c r="AO32" i="23"/>
  <c r="AO32" i="24" s="1"/>
  <c r="AO33" i="23"/>
  <c r="AO33" i="24" s="1"/>
  <c r="AO34" i="23"/>
  <c r="AO34" i="24" s="1"/>
  <c r="AO35" i="23"/>
  <c r="AO35" i="24" s="1"/>
  <c r="AO36" i="23"/>
  <c r="AO36" i="24" s="1"/>
  <c r="AO37" i="23"/>
  <c r="AO37" i="24" s="1"/>
  <c r="AO38" i="23"/>
  <c r="AO38" i="24" s="1"/>
  <c r="AO39" i="23"/>
  <c r="AO39" i="24" s="1"/>
  <c r="AO40" i="23"/>
  <c r="AO40" i="24" s="1"/>
  <c r="AO41" i="23"/>
  <c r="AO41" i="24" s="1"/>
  <c r="J52" i="3"/>
  <c r="J51" i="3"/>
  <c r="J50" i="3"/>
  <c r="I52" i="3"/>
  <c r="I55" i="3" s="1"/>
  <c r="G52" i="3"/>
  <c r="N52" i="3"/>
  <c r="G50" i="3"/>
  <c r="N50" i="3"/>
  <c r="G49" i="3"/>
  <c r="I14" i="25"/>
  <c r="I15" i="25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A41" i="21"/>
  <c r="AB41" i="21"/>
  <c r="AF41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F40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A39" i="21"/>
  <c r="AB39" i="21"/>
  <c r="AF39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F38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A37" i="21"/>
  <c r="AB37" i="21"/>
  <c r="AF37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F36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A35" i="21"/>
  <c r="AB35" i="21"/>
  <c r="AF35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A34" i="21"/>
  <c r="AB34" i="21"/>
  <c r="AF34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F33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F32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F31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F30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F29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F28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F27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F26" i="21"/>
  <c r="B25" i="21"/>
  <c r="B45" i="21" s="1"/>
  <c r="I55" i="26" s="1"/>
  <c r="C25" i="21"/>
  <c r="C45" i="21" s="1"/>
  <c r="I56" i="26" s="1"/>
  <c r="D25" i="21"/>
  <c r="D45" i="21" s="1"/>
  <c r="I57" i="26" s="1"/>
  <c r="E25" i="21"/>
  <c r="E45" i="21" s="1"/>
  <c r="I58" i="26" s="1"/>
  <c r="F25" i="21"/>
  <c r="F45" i="21" s="1"/>
  <c r="I59" i="26" s="1"/>
  <c r="G25" i="21"/>
  <c r="G45" i="21" s="1"/>
  <c r="I60" i="26" s="1"/>
  <c r="H25" i="21"/>
  <c r="H45" i="21" s="1"/>
  <c r="I61" i="26" s="1"/>
  <c r="I25" i="21"/>
  <c r="J25" i="21"/>
  <c r="J45" i="21" s="1"/>
  <c r="I63" i="26" s="1"/>
  <c r="K25" i="21"/>
  <c r="K45" i="21" s="1"/>
  <c r="I64" i="26" s="1"/>
  <c r="L25" i="21"/>
  <c r="L45" i="21" s="1"/>
  <c r="I65" i="26" s="1"/>
  <c r="M25" i="21"/>
  <c r="M45" i="21" s="1"/>
  <c r="I66" i="26" s="1"/>
  <c r="N25" i="21"/>
  <c r="N45" i="21" s="1"/>
  <c r="I67" i="26" s="1"/>
  <c r="O25" i="21"/>
  <c r="O45" i="21" s="1"/>
  <c r="I68" i="26" s="1"/>
  <c r="P25" i="21"/>
  <c r="P45" i="21" s="1"/>
  <c r="I69" i="26" s="1"/>
  <c r="Q25" i="21"/>
  <c r="Q45" i="21" s="1"/>
  <c r="I70" i="26" s="1"/>
  <c r="R25" i="21"/>
  <c r="S25" i="21"/>
  <c r="T25" i="21"/>
  <c r="U25" i="21"/>
  <c r="V25" i="21"/>
  <c r="W25" i="21"/>
  <c r="X25" i="21"/>
  <c r="Y25" i="21"/>
  <c r="Z25" i="21"/>
  <c r="AA25" i="21"/>
  <c r="AB25" i="21"/>
  <c r="AF25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F24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F23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F22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F21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F20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F19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F18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F17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F16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F15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F14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F13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F12" i="21"/>
  <c r="B11" i="21"/>
  <c r="C11" i="21"/>
  <c r="C42" i="21" s="1"/>
  <c r="D11" i="21"/>
  <c r="E11" i="21"/>
  <c r="F11" i="21"/>
  <c r="F44" i="21" s="1"/>
  <c r="I59" i="27" s="1"/>
  <c r="G11" i="21"/>
  <c r="G44" i="21" s="1"/>
  <c r="I60" i="27" s="1"/>
  <c r="H11" i="21"/>
  <c r="I11" i="21"/>
  <c r="I44" i="21" s="1"/>
  <c r="I62" i="27" s="1"/>
  <c r="J11" i="21"/>
  <c r="J44" i="21" s="1"/>
  <c r="I63" i="27" s="1"/>
  <c r="K11" i="21"/>
  <c r="L11" i="21"/>
  <c r="L44" i="21" s="1"/>
  <c r="I65" i="27" s="1"/>
  <c r="M11" i="21"/>
  <c r="N11" i="21"/>
  <c r="N44" i="21" s="1"/>
  <c r="I67" i="27" s="1"/>
  <c r="O11" i="21"/>
  <c r="O42" i="21" s="1"/>
  <c r="P11" i="21"/>
  <c r="Q11" i="21"/>
  <c r="R11" i="21"/>
  <c r="R44" i="21" s="1"/>
  <c r="I71" i="27" s="1"/>
  <c r="S11" i="21"/>
  <c r="T11" i="21"/>
  <c r="T44" i="21" s="1"/>
  <c r="I73" i="27" s="1"/>
  <c r="U11" i="21"/>
  <c r="V11" i="21"/>
  <c r="V44" i="21" s="1"/>
  <c r="I75" i="27" s="1"/>
  <c r="W11" i="21"/>
  <c r="W44" i="21" s="1"/>
  <c r="I76" i="27" s="1"/>
  <c r="X11" i="21"/>
  <c r="X44" i="21" s="1"/>
  <c r="I77" i="27" s="1"/>
  <c r="Y11" i="21"/>
  <c r="Z11" i="21"/>
  <c r="Z44" i="21" s="1"/>
  <c r="I79" i="27" s="1"/>
  <c r="AA11" i="21"/>
  <c r="AA42" i="21" s="1"/>
  <c r="AB11" i="21"/>
  <c r="AB44" i="21" s="1"/>
  <c r="I81" i="27" s="1"/>
  <c r="AF11" i="21"/>
  <c r="I79" i="26"/>
  <c r="H44" i="22"/>
  <c r="D104" i="26"/>
  <c r="I14" i="26"/>
  <c r="I15" i="26"/>
  <c r="A41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Z50" i="22"/>
  <c r="W50" i="22"/>
  <c r="H50" i="22"/>
  <c r="I50" i="22"/>
  <c r="J50" i="22"/>
  <c r="K50" i="22"/>
  <c r="L50" i="22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M44" i="22"/>
  <c r="N44" i="22"/>
  <c r="O44" i="22"/>
  <c r="P44" i="22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/>
  <c r="AO44" i="22"/>
  <c r="AQ44" i="22" s="1"/>
  <c r="AM42" i="22"/>
  <c r="AO42" i="22"/>
  <c r="AQ42" i="22" s="1"/>
  <c r="M47" i="3"/>
  <c r="N47" i="3"/>
  <c r="L47" i="3"/>
  <c r="O47" i="3"/>
  <c r="C48" i="3"/>
  <c r="C54" i="3" s="1"/>
  <c r="C49" i="3"/>
  <c r="L49" i="3"/>
  <c r="O49" i="3" s="1"/>
  <c r="I48" i="3"/>
  <c r="I49" i="3"/>
  <c r="C57" i="3"/>
  <c r="I57" i="3"/>
  <c r="C52" i="3"/>
  <c r="C51" i="3"/>
  <c r="L51" i="3" s="1"/>
  <c r="O51" i="3" s="1"/>
  <c r="C50" i="3"/>
  <c r="I51" i="3"/>
  <c r="I50" i="3"/>
  <c r="B48" i="3"/>
  <c r="B49" i="3"/>
  <c r="B52" i="3"/>
  <c r="B51" i="3"/>
  <c r="B50" i="3"/>
  <c r="E49" i="3"/>
  <c r="M49" i="3" s="1"/>
  <c r="J49" i="3"/>
  <c r="K49" i="3"/>
  <c r="N49" i="3"/>
  <c r="E50" i="3"/>
  <c r="M50" i="3"/>
  <c r="K50" i="3"/>
  <c r="E51" i="3"/>
  <c r="M51" i="3" s="1"/>
  <c r="K51" i="3"/>
  <c r="N51" i="3" s="1"/>
  <c r="E52" i="3"/>
  <c r="M52" i="3" s="1"/>
  <c r="K52" i="3"/>
  <c r="K48" i="3"/>
  <c r="E48" i="3"/>
  <c r="M48" i="3" s="1"/>
  <c r="J48" i="3"/>
  <c r="AX27" i="28"/>
  <c r="AX29" i="28"/>
  <c r="AX28" i="28"/>
  <c r="AX26" i="28"/>
  <c r="AX25" i="28"/>
  <c r="AX24" i="28"/>
  <c r="AX23" i="28"/>
  <c r="AX22" i="28"/>
  <c r="AS37" i="28"/>
  <c r="AR37" i="28"/>
  <c r="AQ37" i="28"/>
  <c r="AK37" i="28"/>
  <c r="AJ37" i="28"/>
  <c r="AI37" i="28"/>
  <c r="AH37" i="28"/>
  <c r="P37" i="28"/>
  <c r="AS29" i="28"/>
  <c r="AR29" i="28"/>
  <c r="AQ29" i="28"/>
  <c r="AK29" i="28"/>
  <c r="AJ29" i="28"/>
  <c r="AI29" i="28"/>
  <c r="AH29" i="28"/>
  <c r="P29" i="28"/>
  <c r="AS12" i="28"/>
  <c r="AR12" i="28"/>
  <c r="AQ12" i="28"/>
  <c r="AK12" i="28"/>
  <c r="AJ12" i="28"/>
  <c r="AI12" i="28"/>
  <c r="AH12" i="28"/>
  <c r="AS11" i="28"/>
  <c r="AR11" i="28"/>
  <c r="AQ11" i="28"/>
  <c r="AK11" i="28"/>
  <c r="AJ11" i="28"/>
  <c r="AI11" i="28"/>
  <c r="AH11" i="28"/>
  <c r="AS10" i="28"/>
  <c r="AR10" i="28"/>
  <c r="AQ10" i="28"/>
  <c r="AK10" i="28"/>
  <c r="AJ10" i="28"/>
  <c r="AI10" i="28"/>
  <c r="AH10" i="28"/>
  <c r="AS8" i="28"/>
  <c r="AR8" i="28"/>
  <c r="AQ8" i="28"/>
  <c r="AK8" i="28"/>
  <c r="AJ8" i="28"/>
  <c r="AI8" i="28"/>
  <c r="AH8" i="28"/>
  <c r="AS7" i="28"/>
  <c r="AR7" i="28"/>
  <c r="AQ7" i="28"/>
  <c r="AK7" i="28"/>
  <c r="AJ7" i="28"/>
  <c r="AI7" i="28"/>
  <c r="AH7" i="28"/>
  <c r="AS5" i="28"/>
  <c r="AR5" i="28"/>
  <c r="AQ5" i="28"/>
  <c r="AK5" i="28"/>
  <c r="AJ5" i="28"/>
  <c r="AI5" i="28"/>
  <c r="AH5" i="28"/>
  <c r="AS4" i="28"/>
  <c r="AR4" i="28"/>
  <c r="AQ4" i="28"/>
  <c r="AK4" i="28"/>
  <c r="AJ4" i="28"/>
  <c r="AI4" i="28"/>
  <c r="AH4" i="28"/>
  <c r="AS3" i="28"/>
  <c r="AR3" i="28"/>
  <c r="AQ3" i="28"/>
  <c r="AK3" i="28"/>
  <c r="AJ3" i="28"/>
  <c r="AI3" i="28"/>
  <c r="AH3" i="28"/>
  <c r="A41" i="23"/>
  <c r="A41" i="24" s="1"/>
  <c r="AN41" i="22"/>
  <c r="D50" i="3"/>
  <c r="D51" i="3"/>
  <c r="D52" i="3"/>
  <c r="D48" i="3"/>
  <c r="I12" i="25"/>
  <c r="I13" i="25"/>
  <c r="I11" i="26"/>
  <c r="I12" i="26"/>
  <c r="I13" i="26"/>
  <c r="H12" i="26"/>
  <c r="H13" i="26"/>
  <c r="H11" i="26"/>
  <c r="AL35" i="22"/>
  <c r="AP14" i="22"/>
  <c r="AP19" i="22"/>
  <c r="AP22" i="22"/>
  <c r="AP26" i="22"/>
  <c r="AP27" i="22"/>
  <c r="AP31" i="22"/>
  <c r="AP34" i="22"/>
  <c r="AP38" i="22"/>
  <c r="AP39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41" i="22"/>
  <c r="AQ11" i="22"/>
  <c r="AN25" i="22"/>
  <c r="AN26" i="22"/>
  <c r="AN27" i="22"/>
  <c r="AN28" i="22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F52" i="3"/>
  <c r="F51" i="3"/>
  <c r="F11" i="27"/>
  <c r="G11" i="27"/>
  <c r="L18" i="3"/>
  <c r="O18" i="3"/>
  <c r="L19" i="3"/>
  <c r="O19" i="3" s="1"/>
  <c r="L20" i="3"/>
  <c r="O20" i="3"/>
  <c r="L21" i="3"/>
  <c r="O21" i="3" s="1"/>
  <c r="L22" i="3"/>
  <c r="O22" i="3"/>
  <c r="L23" i="3"/>
  <c r="O23" i="3" s="1"/>
  <c r="L24" i="3"/>
  <c r="O24" i="3"/>
  <c r="L25" i="3"/>
  <c r="O25" i="3" s="1"/>
  <c r="L26" i="3"/>
  <c r="O26" i="3"/>
  <c r="L27" i="3"/>
  <c r="O27" i="3" s="1"/>
  <c r="L28" i="3"/>
  <c r="O28" i="3"/>
  <c r="L29" i="3"/>
  <c r="O29" i="3" s="1"/>
  <c r="L30" i="3"/>
  <c r="O30" i="3"/>
  <c r="L31" i="3"/>
  <c r="O31" i="3" s="1"/>
  <c r="L32" i="3"/>
  <c r="O32" i="3"/>
  <c r="L33" i="3"/>
  <c r="O33" i="3" s="1"/>
  <c r="L34" i="3"/>
  <c r="O34" i="3"/>
  <c r="L35" i="3"/>
  <c r="O35" i="3" s="1"/>
  <c r="L36" i="3"/>
  <c r="O36" i="3"/>
  <c r="L37" i="3"/>
  <c r="O37" i="3" s="1"/>
  <c r="L38" i="3"/>
  <c r="O38" i="3"/>
  <c r="L39" i="3"/>
  <c r="O39" i="3" s="1"/>
  <c r="L40" i="3"/>
  <c r="O40" i="3"/>
  <c r="L41" i="3"/>
  <c r="O41" i="3" s="1"/>
  <c r="L42" i="3"/>
  <c r="O42" i="3"/>
  <c r="L43" i="3"/>
  <c r="O43" i="3" s="1"/>
  <c r="L44" i="3"/>
  <c r="O44" i="3"/>
  <c r="L45" i="3"/>
  <c r="O45" i="3" s="1"/>
  <c r="L46" i="3"/>
  <c r="O46" i="3"/>
  <c r="L17" i="3"/>
  <c r="O17" i="3" s="1"/>
  <c r="N17" i="3"/>
  <c r="M17" i="3"/>
  <c r="P49" i="3"/>
  <c r="Q49" i="3" s="1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L60" i="22"/>
  <c r="U60" i="22"/>
  <c r="U63" i="22" s="1"/>
  <c r="X60" i="22"/>
  <c r="P57" i="22"/>
  <c r="P63" i="22" s="1"/>
  <c r="X57" i="22"/>
  <c r="X63" i="22" s="1"/>
  <c r="A40" i="23"/>
  <c r="A40" i="24" s="1"/>
  <c r="M46" i="3"/>
  <c r="N46" i="3"/>
  <c r="M45" i="3"/>
  <c r="N45" i="3"/>
  <c r="A39" i="23"/>
  <c r="A39" i="24" s="1"/>
  <c r="M91" i="25"/>
  <c r="I9" i="27"/>
  <c r="F9" i="26"/>
  <c r="I9" i="26"/>
  <c r="B95" i="26"/>
  <c r="I9" i="25"/>
  <c r="I11" i="25"/>
  <c r="A96" i="25"/>
  <c r="B96" i="25"/>
  <c r="A7" i="24"/>
  <c r="A11" i="23"/>
  <c r="A11" i="24" s="1"/>
  <c r="A12" i="23"/>
  <c r="A12" i="24" s="1"/>
  <c r="A13" i="23"/>
  <c r="A13" i="24" s="1"/>
  <c r="A14" i="23"/>
  <c r="A14" i="24" s="1"/>
  <c r="A15" i="23"/>
  <c r="A15" i="24" s="1"/>
  <c r="A16" i="23"/>
  <c r="A16" i="24" s="1"/>
  <c r="A17" i="23"/>
  <c r="A17" i="24" s="1"/>
  <c r="A18" i="23"/>
  <c r="A18" i="24" s="1"/>
  <c r="A19" i="23"/>
  <c r="A19" i="24" s="1"/>
  <c r="A20" i="23"/>
  <c r="A20" i="24" s="1"/>
  <c r="A21" i="23"/>
  <c r="A21" i="24" s="1"/>
  <c r="A22" i="23"/>
  <c r="A22" i="24" s="1"/>
  <c r="A23" i="23"/>
  <c r="A23" i="24" s="1"/>
  <c r="A24" i="23"/>
  <c r="A24" i="24" s="1"/>
  <c r="A25" i="23"/>
  <c r="A25" i="24" s="1"/>
  <c r="A26" i="23"/>
  <c r="A26" i="24" s="1"/>
  <c r="A27" i="23"/>
  <c r="A27" i="24" s="1"/>
  <c r="A28" i="23"/>
  <c r="A28" i="24" s="1"/>
  <c r="A29" i="23"/>
  <c r="A29" i="24" s="1"/>
  <c r="A30" i="23"/>
  <c r="A30" i="24" s="1"/>
  <c r="A31" i="23"/>
  <c r="A31" i="24" s="1"/>
  <c r="A32" i="23"/>
  <c r="A32" i="24" s="1"/>
  <c r="A33" i="23"/>
  <c r="A33" i="24" s="1"/>
  <c r="A34" i="23"/>
  <c r="A34" i="24" s="1"/>
  <c r="A35" i="23"/>
  <c r="A35" i="24" s="1"/>
  <c r="A36" i="23"/>
  <c r="A36" i="24" s="1"/>
  <c r="A37" i="23"/>
  <c r="A37" i="24" s="1"/>
  <c r="A38" i="23"/>
  <c r="A38" i="24" s="1"/>
  <c r="A7" i="2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F48" i="3"/>
  <c r="D49" i="3"/>
  <c r="F49" i="3"/>
  <c r="F50" i="3"/>
  <c r="G51" i="3"/>
  <c r="G48" i="3"/>
  <c r="N48" i="3" s="1"/>
  <c r="T30" i="23"/>
  <c r="T30" i="24" s="1"/>
  <c r="AD20" i="23"/>
  <c r="AD20" i="24" s="1"/>
  <c r="AD30" i="23"/>
  <c r="AD30" i="24" s="1"/>
  <c r="J30" i="23"/>
  <c r="J30" i="24" s="1"/>
  <c r="AC26" i="23"/>
  <c r="AC26" i="24" s="1"/>
  <c r="I45" i="21"/>
  <c r="I62" i="26" s="1"/>
  <c r="AL21" i="22"/>
  <c r="V19" i="23"/>
  <c r="V19" i="24" s="1"/>
  <c r="H19" i="23"/>
  <c r="H19" i="24" s="1"/>
  <c r="T18" i="23"/>
  <c r="T18" i="24" s="1"/>
  <c r="K18" i="23"/>
  <c r="K18" i="24" s="1"/>
  <c r="Y11" i="23"/>
  <c r="Y11" i="24" s="1"/>
  <c r="AD11" i="23"/>
  <c r="AD11" i="24" s="1"/>
  <c r="M32" i="23"/>
  <c r="M32" i="24" s="1"/>
  <c r="I28" i="23"/>
  <c r="I28" i="24" s="1"/>
  <c r="D19" i="23"/>
  <c r="D19" i="24" s="1"/>
  <c r="N11" i="23"/>
  <c r="P11" i="23"/>
  <c r="T5" i="29"/>
  <c r="T6" i="29"/>
  <c r="T9" i="29"/>
  <c r="T10" i="29"/>
  <c r="T13" i="29"/>
  <c r="T14" i="29"/>
  <c r="T17" i="29"/>
  <c r="T18" i="29"/>
  <c r="T21" i="29"/>
  <c r="T22" i="29"/>
  <c r="T25" i="29"/>
  <c r="T26" i="29"/>
  <c r="T28" i="29"/>
  <c r="T29" i="29"/>
  <c r="T30" i="29"/>
  <c r="T32" i="29"/>
  <c r="T33" i="29"/>
  <c r="T34" i="29"/>
  <c r="W3" i="30"/>
  <c r="W5" i="30"/>
  <c r="W9" i="30"/>
  <c r="R13" i="30"/>
  <c r="Y13" i="30" s="1"/>
  <c r="W13" i="30"/>
  <c r="R15" i="30"/>
  <c r="W15" i="30"/>
  <c r="R17" i="30"/>
  <c r="Y17" i="30" s="1"/>
  <c r="W17" i="30"/>
  <c r="R19" i="30"/>
  <c r="Y19" i="30" s="1"/>
  <c r="W19" i="30"/>
  <c r="R21" i="30"/>
  <c r="Y21" i="30" s="1"/>
  <c r="W21" i="30"/>
  <c r="W23" i="30"/>
  <c r="R29" i="30"/>
  <c r="W29" i="30"/>
  <c r="W31" i="30"/>
  <c r="M44" i="30"/>
  <c r="R3" i="31"/>
  <c r="W5" i="31"/>
  <c r="W7" i="31"/>
  <c r="R13" i="31"/>
  <c r="T13" i="31" s="1"/>
  <c r="W13" i="31"/>
  <c r="W15" i="31"/>
  <c r="W17" i="31"/>
  <c r="W19" i="31"/>
  <c r="R21" i="31"/>
  <c r="W23" i="31"/>
  <c r="R25" i="31"/>
  <c r="W25" i="31"/>
  <c r="R29" i="31"/>
  <c r="T29" i="31" s="1"/>
  <c r="W29" i="31"/>
  <c r="R31" i="31"/>
  <c r="T31" i="31" s="1"/>
  <c r="AA31" i="31" s="1"/>
  <c r="W31" i="31"/>
  <c r="W33" i="31"/>
  <c r="M44" i="31"/>
  <c r="W3" i="32"/>
  <c r="W7" i="32"/>
  <c r="W9" i="32"/>
  <c r="R13" i="32"/>
  <c r="W15" i="32"/>
  <c r="W17" i="32"/>
  <c r="W21" i="32"/>
  <c r="W23" i="32"/>
  <c r="W25" i="32"/>
  <c r="W27" i="32"/>
  <c r="W29" i="32"/>
  <c r="R31" i="32"/>
  <c r="W33" i="32"/>
  <c r="M44" i="32"/>
  <c r="W3" i="33"/>
  <c r="R7" i="33"/>
  <c r="T7" i="33" s="1"/>
  <c r="W7" i="33"/>
  <c r="R9" i="33"/>
  <c r="T9" i="33" s="1"/>
  <c r="AA9" i="33" s="1"/>
  <c r="W11" i="33"/>
  <c r="W15" i="33"/>
  <c r="W19" i="33"/>
  <c r="W21" i="33"/>
  <c r="R25" i="33"/>
  <c r="W25" i="33"/>
  <c r="W27" i="33"/>
  <c r="W33" i="33"/>
  <c r="W5" i="34"/>
  <c r="W7" i="34"/>
  <c r="W9" i="34"/>
  <c r="W13" i="34"/>
  <c r="R15" i="34"/>
  <c r="T15" i="34" s="1"/>
  <c r="W17" i="34"/>
  <c r="W19" i="34"/>
  <c r="W21" i="34"/>
  <c r="R23" i="34"/>
  <c r="T23" i="34" s="1"/>
  <c r="AA23" i="34" s="1"/>
  <c r="W23" i="34"/>
  <c r="R27" i="34"/>
  <c r="Y27" i="34" s="1"/>
  <c r="W27" i="34"/>
  <c r="W29" i="34"/>
  <c r="W33" i="34"/>
  <c r="M44" i="34"/>
  <c r="R7" i="35"/>
  <c r="T7" i="35" s="1"/>
  <c r="W9" i="35"/>
  <c r="R11" i="35"/>
  <c r="R13" i="35"/>
  <c r="W13" i="35"/>
  <c r="W15" i="35"/>
  <c r="R17" i="35"/>
  <c r="T17" i="35" s="1"/>
  <c r="AA17" i="35" s="1"/>
  <c r="W19" i="35"/>
  <c r="W23" i="35"/>
  <c r="W25" i="35"/>
  <c r="W27" i="35"/>
  <c r="W31" i="35"/>
  <c r="W33" i="35"/>
  <c r="M44" i="35"/>
  <c r="W3" i="36"/>
  <c r="W5" i="36"/>
  <c r="W7" i="36"/>
  <c r="W9" i="36"/>
  <c r="R13" i="36"/>
  <c r="Y13" i="36" s="1"/>
  <c r="W15" i="36"/>
  <c r="W19" i="36"/>
  <c r="W21" i="36"/>
  <c r="W23" i="36"/>
  <c r="W27" i="36"/>
  <c r="W29" i="36"/>
  <c r="R3" i="37"/>
  <c r="W3" i="37"/>
  <c r="W7" i="37"/>
  <c r="W9" i="37"/>
  <c r="R13" i="37"/>
  <c r="T13" i="37" s="1"/>
  <c r="R15" i="37"/>
  <c r="W15" i="37"/>
  <c r="W17" i="37"/>
  <c r="R19" i="37"/>
  <c r="T19" i="37" s="1"/>
  <c r="W21" i="37"/>
  <c r="W23" i="37"/>
  <c r="W25" i="37"/>
  <c r="W27" i="37"/>
  <c r="W31" i="37"/>
  <c r="W33" i="37"/>
  <c r="W3" i="38"/>
  <c r="R5" i="38"/>
  <c r="T5" i="38" s="1"/>
  <c r="AA5" i="38" s="1"/>
  <c r="W5" i="38"/>
  <c r="R7" i="38"/>
  <c r="W7" i="38"/>
  <c r="W9" i="38"/>
  <c r="W15" i="38"/>
  <c r="W17" i="38"/>
  <c r="R19" i="38"/>
  <c r="W19" i="38"/>
  <c r="W21" i="38"/>
  <c r="W23" i="38"/>
  <c r="W25" i="38"/>
  <c r="W27" i="38"/>
  <c r="R29" i="38"/>
  <c r="R31" i="38"/>
  <c r="T31" i="38" s="1"/>
  <c r="AA31" i="38" s="1"/>
  <c r="W31" i="38"/>
  <c r="M44" i="38"/>
  <c r="W3" i="39"/>
  <c r="W7" i="39"/>
  <c r="R9" i="39"/>
  <c r="Y9" i="39" s="1"/>
  <c r="W9" i="39"/>
  <c r="W13" i="39"/>
  <c r="W17" i="39"/>
  <c r="W19" i="39"/>
  <c r="W21" i="39"/>
  <c r="W23" i="39"/>
  <c r="W25" i="39"/>
  <c r="W29" i="39"/>
  <c r="W31" i="39"/>
  <c r="R33" i="39"/>
  <c r="W33" i="39"/>
  <c r="M44" i="39"/>
  <c r="W3" i="40"/>
  <c r="W5" i="40"/>
  <c r="W9" i="40"/>
  <c r="W11" i="40"/>
  <c r="W13" i="40"/>
  <c r="W15" i="40"/>
  <c r="W17" i="40"/>
  <c r="W19" i="40"/>
  <c r="W21" i="40"/>
  <c r="R23" i="40"/>
  <c r="T23" i="40" s="1"/>
  <c r="W23" i="40"/>
  <c r="W25" i="40"/>
  <c r="W27" i="40"/>
  <c r="R29" i="40"/>
  <c r="W29" i="40"/>
  <c r="W31" i="40"/>
  <c r="W33" i="40"/>
  <c r="M44" i="40"/>
  <c r="W3" i="41"/>
  <c r="W36" i="41" s="1"/>
  <c r="W5" i="41"/>
  <c r="W7" i="41"/>
  <c r="W9" i="41"/>
  <c r="W11" i="41"/>
  <c r="R15" i="41"/>
  <c r="W15" i="41"/>
  <c r="W19" i="41"/>
  <c r="W21" i="41"/>
  <c r="W23" i="41"/>
  <c r="R27" i="41"/>
  <c r="W27" i="41"/>
  <c r="W29" i="41"/>
  <c r="R31" i="41"/>
  <c r="R33" i="41"/>
  <c r="Y33" i="41" s="1"/>
  <c r="W33" i="41"/>
  <c r="M44" i="41"/>
  <c r="W5" i="42"/>
  <c r="W7" i="42"/>
  <c r="W9" i="42"/>
  <c r="W11" i="42"/>
  <c r="W13" i="42"/>
  <c r="W15" i="42"/>
  <c r="W17" i="42"/>
  <c r="W19" i="42"/>
  <c r="W23" i="42"/>
  <c r="W25" i="42"/>
  <c r="W29" i="42"/>
  <c r="W31" i="42"/>
  <c r="W33" i="42"/>
  <c r="M44" i="42"/>
  <c r="W3" i="43"/>
  <c r="W5" i="43"/>
  <c r="W7" i="43"/>
  <c r="W9" i="43"/>
  <c r="W11" i="43"/>
  <c r="W13" i="43"/>
  <c r="W15" i="43"/>
  <c r="W17" i="43"/>
  <c r="W19" i="43"/>
  <c r="W21" i="43"/>
  <c r="W25" i="43"/>
  <c r="W27" i="43"/>
  <c r="W29" i="43"/>
  <c r="W31" i="43"/>
  <c r="W33" i="43"/>
  <c r="M44" i="43"/>
  <c r="R3" i="44"/>
  <c r="R5" i="44"/>
  <c r="W7" i="44"/>
  <c r="W13" i="44"/>
  <c r="R15" i="44"/>
  <c r="Y15" i="44" s="1"/>
  <c r="W15" i="44"/>
  <c r="W21" i="44"/>
  <c r="W23" i="44"/>
  <c r="W29" i="44"/>
  <c r="R31" i="44"/>
  <c r="W33" i="44"/>
  <c r="R3" i="45"/>
  <c r="Z3" i="45"/>
  <c r="R5" i="45"/>
  <c r="Y5" i="45" s="1"/>
  <c r="R7" i="45"/>
  <c r="T7" i="45" s="1"/>
  <c r="W9" i="45"/>
  <c r="R13" i="45"/>
  <c r="Y13" i="45" s="1"/>
  <c r="W13" i="45"/>
  <c r="R19" i="45"/>
  <c r="Y19" i="45" s="1"/>
  <c r="W19" i="45"/>
  <c r="W21" i="45"/>
  <c r="R29" i="45"/>
  <c r="W31" i="45"/>
  <c r="W3" i="46"/>
  <c r="R7" i="46"/>
  <c r="W7" i="46"/>
  <c r="W11" i="46"/>
  <c r="W13" i="46"/>
  <c r="R15" i="46"/>
  <c r="W17" i="46"/>
  <c r="W21" i="46"/>
  <c r="W27" i="46"/>
  <c r="W31" i="46"/>
  <c r="W33" i="46"/>
  <c r="M44" i="46"/>
  <c r="W7" i="47"/>
  <c r="R9" i="47"/>
  <c r="Y9" i="47" s="1"/>
  <c r="W13" i="47"/>
  <c r="W15" i="47"/>
  <c r="W17" i="47"/>
  <c r="R21" i="47"/>
  <c r="W25" i="47"/>
  <c r="W33" i="47"/>
  <c r="M44" i="47"/>
  <c r="W7" i="48"/>
  <c r="W9" i="48"/>
  <c r="W15" i="48"/>
  <c r="W23" i="48"/>
  <c r="R29" i="48"/>
  <c r="Y29" i="48" s="1"/>
  <c r="W29" i="48"/>
  <c r="R31" i="48"/>
  <c r="T31" i="48" s="1"/>
  <c r="W33" i="48"/>
  <c r="M44" i="48"/>
  <c r="W7" i="49"/>
  <c r="W9" i="49"/>
  <c r="W11" i="49"/>
  <c r="W15" i="49"/>
  <c r="W21" i="49"/>
  <c r="R25" i="49"/>
  <c r="W27" i="49"/>
  <c r="W29" i="49"/>
  <c r="W31" i="49"/>
  <c r="M44" i="49"/>
  <c r="R3" i="50"/>
  <c r="W3" i="50"/>
  <c r="R5" i="50"/>
  <c r="T5" i="50" s="1"/>
  <c r="W5" i="50"/>
  <c r="W11" i="50"/>
  <c r="W15" i="50"/>
  <c r="W21" i="50"/>
  <c r="W23" i="50"/>
  <c r="W25" i="50"/>
  <c r="W5" i="51"/>
  <c r="W9" i="51"/>
  <c r="W13" i="51"/>
  <c r="R19" i="51"/>
  <c r="W19" i="51"/>
  <c r="W23" i="51"/>
  <c r="R27" i="51"/>
  <c r="W29" i="51"/>
  <c r="M44" i="51"/>
  <c r="R3" i="52"/>
  <c r="W3" i="52"/>
  <c r="Z3" i="52"/>
  <c r="W7" i="52"/>
  <c r="W9" i="52"/>
  <c r="R13" i="52"/>
  <c r="W17" i="52"/>
  <c r="W21" i="52"/>
  <c r="R23" i="52"/>
  <c r="T23" i="52" s="1"/>
  <c r="W23" i="52"/>
  <c r="W27" i="52"/>
  <c r="W29" i="52"/>
  <c r="M44" i="52"/>
  <c r="W5" i="53"/>
  <c r="W7" i="53"/>
  <c r="W9" i="53"/>
  <c r="R11" i="53"/>
  <c r="Y11" i="53" s="1"/>
  <c r="W13" i="53"/>
  <c r="R15" i="53"/>
  <c r="W15" i="53"/>
  <c r="W21" i="53"/>
  <c r="R27" i="53"/>
  <c r="W29" i="53"/>
  <c r="R31" i="53"/>
  <c r="T31" i="53" s="1"/>
  <c r="W31" i="53"/>
  <c r="R5" i="54"/>
  <c r="W5" i="54"/>
  <c r="W11" i="54"/>
  <c r="W13" i="54"/>
  <c r="W21" i="54"/>
  <c r="W27" i="54"/>
  <c r="W29" i="54"/>
  <c r="W3" i="55"/>
  <c r="W7" i="55"/>
  <c r="W9" i="55"/>
  <c r="W13" i="55"/>
  <c r="W15" i="55"/>
  <c r="R17" i="55"/>
  <c r="R19" i="55"/>
  <c r="Y19" i="55" s="1"/>
  <c r="W19" i="55"/>
  <c r="R23" i="55"/>
  <c r="W23" i="55"/>
  <c r="W25" i="55"/>
  <c r="R29" i="55"/>
  <c r="Y29" i="55" s="1"/>
  <c r="W29" i="55"/>
  <c r="M44" i="55"/>
  <c r="W7" i="56"/>
  <c r="W11" i="56"/>
  <c r="R13" i="56"/>
  <c r="T13" i="56" s="1"/>
  <c r="W13" i="56"/>
  <c r="W17" i="56"/>
  <c r="W21" i="56"/>
  <c r="W23" i="56"/>
  <c r="W27" i="56"/>
  <c r="R29" i="56"/>
  <c r="W31" i="56"/>
  <c r="R33" i="56"/>
  <c r="T33" i="56" s="1"/>
  <c r="AA33" i="56" s="1"/>
  <c r="W33" i="56"/>
  <c r="M44" i="56"/>
  <c r="R3" i="57"/>
  <c r="W3" i="57"/>
  <c r="Z3" i="57"/>
  <c r="R5" i="57"/>
  <c r="W7" i="57"/>
  <c r="R11" i="57"/>
  <c r="Y11" i="57" s="1"/>
  <c r="R13" i="57"/>
  <c r="W15" i="57"/>
  <c r="W19" i="57"/>
  <c r="W21" i="57"/>
  <c r="W23" i="57"/>
  <c r="W25" i="57"/>
  <c r="R29" i="57"/>
  <c r="W29" i="57"/>
  <c r="W31" i="57"/>
  <c r="R7" i="58"/>
  <c r="T7" i="58" s="1"/>
  <c r="W7" i="58"/>
  <c r="W9" i="58"/>
  <c r="R11" i="58"/>
  <c r="T11" i="58" s="1"/>
  <c r="AA11" i="58" s="1"/>
  <c r="R13" i="58"/>
  <c r="T13" i="58" s="1"/>
  <c r="W13" i="58"/>
  <c r="W15" i="58"/>
  <c r="W17" i="58"/>
  <c r="W19" i="58"/>
  <c r="W21" i="58"/>
  <c r="W23" i="58"/>
  <c r="W25" i="58"/>
  <c r="R27" i="58"/>
  <c r="W27" i="58"/>
  <c r="R29" i="58"/>
  <c r="T29" i="58" s="1"/>
  <c r="W29" i="58"/>
  <c r="W31" i="58"/>
  <c r="W33" i="58"/>
  <c r="M44" i="58"/>
  <c r="T22" i="59"/>
  <c r="AA22" i="59" s="1"/>
  <c r="L44" i="59"/>
  <c r="W6" i="60"/>
  <c r="Y21" i="60"/>
  <c r="W3" i="60"/>
  <c r="W5" i="60"/>
  <c r="W7" i="60"/>
  <c r="W9" i="60"/>
  <c r="W11" i="60"/>
  <c r="AA11" i="60"/>
  <c r="Z12" i="60"/>
  <c r="W21" i="60"/>
  <c r="W27" i="60"/>
  <c r="AA27" i="60" s="1"/>
  <c r="W29" i="60"/>
  <c r="W31" i="60"/>
  <c r="Z32" i="60"/>
  <c r="M44" i="60"/>
  <c r="Y31" i="31"/>
  <c r="Y13" i="31"/>
  <c r="Y31" i="48"/>
  <c r="Y7" i="58"/>
  <c r="AM5" i="30"/>
  <c r="AN5" i="30" s="1"/>
  <c r="AO5" i="30" s="1"/>
  <c r="AM10" i="30"/>
  <c r="AN10" i="30"/>
  <c r="AO10" i="30" s="1"/>
  <c r="AM9" i="30"/>
  <c r="AN9" i="30" s="1"/>
  <c r="AO9" i="30"/>
  <c r="AM13" i="30"/>
  <c r="AN13" i="30" s="1"/>
  <c r="AO13" i="30"/>
  <c r="AM18" i="30"/>
  <c r="AN18" i="30"/>
  <c r="AO18" i="30" s="1"/>
  <c r="AM17" i="30"/>
  <c r="AN17" i="30"/>
  <c r="AO17" i="30"/>
  <c r="AM21" i="30"/>
  <c r="AN21" i="30" s="1"/>
  <c r="AO21" i="30"/>
  <c r="AM26" i="30"/>
  <c r="AN26" i="30" s="1"/>
  <c r="AO26" i="30" s="1"/>
  <c r="AM25" i="30"/>
  <c r="AN25" i="30" s="1"/>
  <c r="AO25" i="30" s="1"/>
  <c r="AM29" i="30"/>
  <c r="AN29" i="30" s="1"/>
  <c r="AO29" i="30" s="1"/>
  <c r="AM33" i="30"/>
  <c r="AN33" i="30"/>
  <c r="AO33" i="30" s="1"/>
  <c r="AM4" i="30"/>
  <c r="AN4" i="30" s="1"/>
  <c r="AO4" i="30" s="1"/>
  <c r="AM8" i="30"/>
  <c r="AN8" i="30"/>
  <c r="AO8" i="30" s="1"/>
  <c r="AM7" i="30"/>
  <c r="AN7" i="30"/>
  <c r="AO7" i="30"/>
  <c r="AM11" i="30"/>
  <c r="AN11" i="30" s="1"/>
  <c r="AO11" i="30"/>
  <c r="AM16" i="30"/>
  <c r="AN16" i="30" s="1"/>
  <c r="AO16" i="30" s="1"/>
  <c r="AM15" i="30"/>
  <c r="AN15" i="30" s="1"/>
  <c r="AO15" i="30" s="1"/>
  <c r="AM19" i="30"/>
  <c r="AN19" i="30" s="1"/>
  <c r="AM24" i="30"/>
  <c r="AN24" i="30" s="1"/>
  <c r="AO24" i="30"/>
  <c r="AM28" i="30"/>
  <c r="AN28" i="30" s="1"/>
  <c r="AO28" i="30"/>
  <c r="AM27" i="30"/>
  <c r="AN27" i="30"/>
  <c r="AO27" i="30" s="1"/>
  <c r="AM32" i="30"/>
  <c r="AN32" i="30"/>
  <c r="AO32" i="30"/>
  <c r="AM6" i="31"/>
  <c r="AN6" i="31"/>
  <c r="AO6" i="31" s="1"/>
  <c r="AM5" i="31"/>
  <c r="AN5" i="31" s="1"/>
  <c r="AO5" i="31" s="1"/>
  <c r="AM10" i="31"/>
  <c r="AN10" i="31" s="1"/>
  <c r="AO10" i="31" s="1"/>
  <c r="AM9" i="31"/>
  <c r="AN9" i="31"/>
  <c r="AO9" i="31" s="1"/>
  <c r="AM14" i="31"/>
  <c r="AN14" i="31"/>
  <c r="AO14" i="31"/>
  <c r="AM13" i="31"/>
  <c r="AN13" i="31" s="1"/>
  <c r="AO13" i="31" s="1"/>
  <c r="AM18" i="31"/>
  <c r="AN18" i="31"/>
  <c r="AO18" i="31" s="1"/>
  <c r="AM17" i="31"/>
  <c r="AN17" i="31" s="1"/>
  <c r="AO17" i="31" s="1"/>
  <c r="AM22" i="31"/>
  <c r="AN22" i="31"/>
  <c r="AO22" i="31" s="1"/>
  <c r="AM21" i="31"/>
  <c r="AN21" i="31" s="1"/>
  <c r="AO21" i="31" s="1"/>
  <c r="AM26" i="31"/>
  <c r="AN26" i="31" s="1"/>
  <c r="AO26" i="31" s="1"/>
  <c r="AM25" i="31"/>
  <c r="AN25" i="31"/>
  <c r="AO25" i="31" s="1"/>
  <c r="AM30" i="31"/>
  <c r="AN30" i="31"/>
  <c r="AO30" i="31"/>
  <c r="AM29" i="31"/>
  <c r="AN29" i="31" s="1"/>
  <c r="AO29" i="31" s="1"/>
  <c r="AM33" i="31"/>
  <c r="AN33" i="31"/>
  <c r="AO33" i="31" s="1"/>
  <c r="AM4" i="31"/>
  <c r="AN4" i="31" s="1"/>
  <c r="AO4" i="31" s="1"/>
  <c r="AM3" i="31"/>
  <c r="AN3" i="31"/>
  <c r="AO3" i="31" s="1"/>
  <c r="AM8" i="31"/>
  <c r="AN8" i="31"/>
  <c r="AO8" i="31" s="1"/>
  <c r="AM7" i="31"/>
  <c r="AN7" i="31"/>
  <c r="AO7" i="31" s="1"/>
  <c r="AM12" i="31"/>
  <c r="AN12" i="31"/>
  <c r="AO12" i="31"/>
  <c r="AM11" i="31"/>
  <c r="AN11" i="31" s="1"/>
  <c r="AO11" i="31"/>
  <c r="AM16" i="31"/>
  <c r="AN16" i="31"/>
  <c r="AO16" i="31" s="1"/>
  <c r="AM15" i="31"/>
  <c r="AN15" i="31"/>
  <c r="AO15" i="31" s="1"/>
  <c r="AM20" i="31"/>
  <c r="AN20" i="31"/>
  <c r="AO20" i="31"/>
  <c r="AM19" i="31"/>
  <c r="AN19" i="31" s="1"/>
  <c r="AO19" i="31"/>
  <c r="AM24" i="31"/>
  <c r="AN24" i="31"/>
  <c r="AO24" i="31" s="1"/>
  <c r="AM23" i="31"/>
  <c r="AN23" i="31"/>
  <c r="AO23" i="31" s="1"/>
  <c r="AM28" i="31"/>
  <c r="AN28" i="31"/>
  <c r="AO28" i="31" s="1"/>
  <c r="AM27" i="31"/>
  <c r="AN27" i="31" s="1"/>
  <c r="AO27" i="31"/>
  <c r="AM32" i="31"/>
  <c r="AN32" i="31" s="1"/>
  <c r="AO32" i="31" s="1"/>
  <c r="AM31" i="31"/>
  <c r="AN31" i="31"/>
  <c r="AO31" i="31"/>
  <c r="AM6" i="32"/>
  <c r="AN6" i="32" s="1"/>
  <c r="AO6" i="32"/>
  <c r="AM5" i="32"/>
  <c r="AN5" i="32"/>
  <c r="AO5" i="32" s="1"/>
  <c r="AM10" i="32"/>
  <c r="AN10" i="32" s="1"/>
  <c r="AO10" i="32"/>
  <c r="AM9" i="32"/>
  <c r="AN9" i="32" s="1"/>
  <c r="AO9" i="32" s="1"/>
  <c r="AM14" i="32"/>
  <c r="AN14" i="32" s="1"/>
  <c r="AO14" i="32" s="1"/>
  <c r="AM13" i="32"/>
  <c r="AN13" i="32"/>
  <c r="AO13" i="32" s="1"/>
  <c r="AM18" i="32"/>
  <c r="AN18" i="32" s="1"/>
  <c r="AO18" i="32" s="1"/>
  <c r="AM17" i="32"/>
  <c r="AN17" i="32"/>
  <c r="AO17" i="32" s="1"/>
  <c r="AM22" i="32"/>
  <c r="AN22" i="32" s="1"/>
  <c r="AO22" i="32"/>
  <c r="AM21" i="32"/>
  <c r="AN21" i="32"/>
  <c r="AO21" i="32" s="1"/>
  <c r="AM26" i="32"/>
  <c r="AN26" i="32" s="1"/>
  <c r="AO26" i="32"/>
  <c r="AM25" i="32"/>
  <c r="AN25" i="32" s="1"/>
  <c r="AO25" i="32" s="1"/>
  <c r="AM30" i="32"/>
  <c r="AN30" i="32" s="1"/>
  <c r="AO30" i="32" s="1"/>
  <c r="AM29" i="32"/>
  <c r="AN29" i="32"/>
  <c r="AO29" i="32" s="1"/>
  <c r="AM33" i="32"/>
  <c r="AN33" i="32" s="1"/>
  <c r="AO33" i="32" s="1"/>
  <c r="AM4" i="32"/>
  <c r="AN4" i="32"/>
  <c r="AM3" i="32"/>
  <c r="AN3" i="32"/>
  <c r="AM8" i="32"/>
  <c r="AN8" i="32"/>
  <c r="AO8" i="32" s="1"/>
  <c r="AM7" i="32"/>
  <c r="AN7" i="32" s="1"/>
  <c r="AO7" i="32"/>
  <c r="AM12" i="32"/>
  <c r="AN12" i="32"/>
  <c r="AO12" i="32" s="1"/>
  <c r="AM11" i="32"/>
  <c r="AN11" i="32" s="1"/>
  <c r="AO11" i="32"/>
  <c r="AM16" i="32"/>
  <c r="AN16" i="32" s="1"/>
  <c r="AO16" i="32" s="1"/>
  <c r="AM15" i="32"/>
  <c r="AN15" i="32" s="1"/>
  <c r="AO15" i="32" s="1"/>
  <c r="AM20" i="32"/>
  <c r="AN20" i="32"/>
  <c r="AO20" i="32" s="1"/>
  <c r="AM19" i="32"/>
  <c r="AN19" i="32" s="1"/>
  <c r="AO19" i="32" s="1"/>
  <c r="AM24" i="32"/>
  <c r="AN24" i="32"/>
  <c r="AO24" i="32" s="1"/>
  <c r="AM23" i="32"/>
  <c r="AN23" i="32" s="1"/>
  <c r="AO23" i="32"/>
  <c r="AM28" i="32"/>
  <c r="AN28" i="32"/>
  <c r="AO28" i="32" s="1"/>
  <c r="AM27" i="32"/>
  <c r="AN27" i="32" s="1"/>
  <c r="AO27" i="32"/>
  <c r="AM32" i="32"/>
  <c r="AN32" i="32" s="1"/>
  <c r="AO32" i="32" s="1"/>
  <c r="AM31" i="32"/>
  <c r="AN31" i="32" s="1"/>
  <c r="AO31" i="32" s="1"/>
  <c r="AJ36" i="32"/>
  <c r="AM6" i="33"/>
  <c r="AN6" i="33" s="1"/>
  <c r="AO6" i="33" s="1"/>
  <c r="AM5" i="33"/>
  <c r="AN5" i="33"/>
  <c r="AO5" i="33" s="1"/>
  <c r="AM10" i="33"/>
  <c r="AN10" i="33" s="1"/>
  <c r="AO10" i="33" s="1"/>
  <c r="AM9" i="33"/>
  <c r="AN9" i="33"/>
  <c r="AO9" i="33" s="1"/>
  <c r="AM14" i="33"/>
  <c r="AN14" i="33" s="1"/>
  <c r="AO14" i="33"/>
  <c r="AM13" i="33"/>
  <c r="AN13" i="33"/>
  <c r="AO13" i="33" s="1"/>
  <c r="AM18" i="33"/>
  <c r="AN18" i="33" s="1"/>
  <c r="AO18" i="33"/>
  <c r="AM17" i="33"/>
  <c r="AN17" i="33" s="1"/>
  <c r="AO17" i="33" s="1"/>
  <c r="AM22" i="33"/>
  <c r="AN22" i="33" s="1"/>
  <c r="AO22" i="33" s="1"/>
  <c r="AM21" i="33"/>
  <c r="AN21" i="33"/>
  <c r="AO21" i="33" s="1"/>
  <c r="AM26" i="33"/>
  <c r="AN26" i="33" s="1"/>
  <c r="AO26" i="33" s="1"/>
  <c r="AM25" i="33"/>
  <c r="AN25" i="33"/>
  <c r="AO25" i="33" s="1"/>
  <c r="AM30" i="33"/>
  <c r="AN30" i="33" s="1"/>
  <c r="AO30" i="33"/>
  <c r="AM29" i="33"/>
  <c r="AN29" i="33"/>
  <c r="AO29" i="33" s="1"/>
  <c r="AM33" i="33"/>
  <c r="AN33" i="33" s="1"/>
  <c r="AO33" i="33"/>
  <c r="AM4" i="33"/>
  <c r="AN4" i="33" s="1"/>
  <c r="AO4" i="33" s="1"/>
  <c r="AM3" i="33"/>
  <c r="AN3" i="33" s="1"/>
  <c r="AM8" i="33"/>
  <c r="AN8" i="33" s="1"/>
  <c r="AO8" i="33" s="1"/>
  <c r="AM7" i="33"/>
  <c r="AN7" i="33"/>
  <c r="AO7" i="33" s="1"/>
  <c r="AM12" i="33"/>
  <c r="AN12" i="33" s="1"/>
  <c r="AO12" i="33"/>
  <c r="AM11" i="33"/>
  <c r="AN11" i="33"/>
  <c r="AO11" i="33" s="1"/>
  <c r="AM16" i="33"/>
  <c r="AN16" i="33" s="1"/>
  <c r="AO16" i="33"/>
  <c r="AM15" i="33"/>
  <c r="AN15" i="33" s="1"/>
  <c r="AO15" i="33" s="1"/>
  <c r="AM20" i="33"/>
  <c r="AN20" i="33" s="1"/>
  <c r="AO20" i="33" s="1"/>
  <c r="AM19" i="33"/>
  <c r="AN19" i="33"/>
  <c r="AO19" i="33" s="1"/>
  <c r="AM24" i="33"/>
  <c r="AN24" i="33" s="1"/>
  <c r="AO24" i="33" s="1"/>
  <c r="AM23" i="33"/>
  <c r="AN23" i="33"/>
  <c r="AO23" i="33" s="1"/>
  <c r="AM28" i="33"/>
  <c r="AN28" i="33" s="1"/>
  <c r="AO28" i="33"/>
  <c r="AM32" i="33"/>
  <c r="AN32" i="33" s="1"/>
  <c r="AO32" i="33"/>
  <c r="AM31" i="33"/>
  <c r="AN31" i="33"/>
  <c r="AO31" i="33" s="1"/>
  <c r="AM6" i="34"/>
  <c r="AN6" i="34"/>
  <c r="AO6" i="34" s="1"/>
  <c r="AM5" i="34"/>
  <c r="AN5" i="34" s="1"/>
  <c r="AO5" i="34"/>
  <c r="AM10" i="34"/>
  <c r="AN10" i="34"/>
  <c r="AO10" i="34" s="1"/>
  <c r="AM9" i="34"/>
  <c r="AN9" i="34" s="1"/>
  <c r="AO9" i="34"/>
  <c r="AM14" i="34"/>
  <c r="AN14" i="34" s="1"/>
  <c r="AO14" i="34" s="1"/>
  <c r="AM13" i="34"/>
  <c r="AN13" i="34"/>
  <c r="AO13" i="34"/>
  <c r="AM18" i="34"/>
  <c r="AN18" i="34"/>
  <c r="AO18" i="34"/>
  <c r="AM17" i="34"/>
  <c r="AN17" i="34" s="1"/>
  <c r="AO17" i="34" s="1"/>
  <c r="AM22" i="34"/>
  <c r="AN22" i="34"/>
  <c r="AO22" i="34" s="1"/>
  <c r="AM21" i="34"/>
  <c r="AN21" i="34" s="1"/>
  <c r="AO21" i="34"/>
  <c r="AM26" i="34"/>
  <c r="AN26" i="34"/>
  <c r="AO26" i="34" s="1"/>
  <c r="AM25" i="34"/>
  <c r="AN25" i="34" s="1"/>
  <c r="AO25" i="34"/>
  <c r="AM30" i="34"/>
  <c r="AN30" i="34" s="1"/>
  <c r="AO30" i="34" s="1"/>
  <c r="AM29" i="34"/>
  <c r="AN29" i="34"/>
  <c r="AO29" i="34"/>
  <c r="AM33" i="34"/>
  <c r="AN33" i="34"/>
  <c r="AO33" i="34"/>
  <c r="AM4" i="34"/>
  <c r="AN4" i="34" s="1"/>
  <c r="AN36" i="34" s="1"/>
  <c r="AN37" i="34" s="1"/>
  <c r="AM3" i="34"/>
  <c r="AN3" i="34"/>
  <c r="AM8" i="34"/>
  <c r="AN8" i="34" s="1"/>
  <c r="AO8" i="34"/>
  <c r="AM7" i="34"/>
  <c r="AN7" i="34"/>
  <c r="AO7" i="34" s="1"/>
  <c r="AM12" i="34"/>
  <c r="AN12" i="34"/>
  <c r="AO12" i="34" s="1"/>
  <c r="AM11" i="34"/>
  <c r="AN11" i="34"/>
  <c r="AO11" i="34"/>
  <c r="AM16" i="34"/>
  <c r="AN16" i="34" s="1"/>
  <c r="AO16" i="34"/>
  <c r="AM15" i="34"/>
  <c r="AN15" i="34"/>
  <c r="AO15" i="34" s="1"/>
  <c r="AM20" i="34"/>
  <c r="AN20" i="34"/>
  <c r="AO20" i="34"/>
  <c r="AM19" i="34"/>
  <c r="AN19" i="34"/>
  <c r="AO19" i="34"/>
  <c r="AM24" i="34"/>
  <c r="AN24" i="34" s="1"/>
  <c r="AO24" i="34"/>
  <c r="AM23" i="34"/>
  <c r="AN23" i="34"/>
  <c r="AO23" i="34" s="1"/>
  <c r="AM28" i="34"/>
  <c r="AN28" i="34"/>
  <c r="AO28" i="34" s="1"/>
  <c r="AM27" i="34"/>
  <c r="AN27" i="34"/>
  <c r="AO27" i="34"/>
  <c r="AM32" i="34"/>
  <c r="AN32" i="34" s="1"/>
  <c r="AO32" i="34"/>
  <c r="AM31" i="34"/>
  <c r="AN31" i="34"/>
  <c r="AO31" i="34" s="1"/>
  <c r="AJ36" i="34"/>
  <c r="AM6" i="35"/>
  <c r="AN6" i="35" s="1"/>
  <c r="AO6" i="35" s="1"/>
  <c r="AM5" i="35"/>
  <c r="AN5" i="35" s="1"/>
  <c r="AO5" i="35"/>
  <c r="AM10" i="35"/>
  <c r="AN10" i="35"/>
  <c r="AO10" i="35" s="1"/>
  <c r="AM9" i="35"/>
  <c r="AN9" i="35" s="1"/>
  <c r="AO9" i="35"/>
  <c r="AM14" i="35"/>
  <c r="AN14" i="35" s="1"/>
  <c r="AO14" i="35" s="1"/>
  <c r="AM13" i="35"/>
  <c r="AN13" i="35"/>
  <c r="AO13" i="35"/>
  <c r="AM18" i="35"/>
  <c r="AN18" i="35"/>
  <c r="AO18" i="35"/>
  <c r="AM17" i="35"/>
  <c r="AN17" i="35" s="1"/>
  <c r="AO17" i="35" s="1"/>
  <c r="AM22" i="35"/>
  <c r="AN22" i="35" s="1"/>
  <c r="AO22" i="35" s="1"/>
  <c r="AM21" i="35"/>
  <c r="AN21" i="35" s="1"/>
  <c r="AO21" i="35"/>
  <c r="AM26" i="35"/>
  <c r="AN26" i="35"/>
  <c r="AO26" i="35" s="1"/>
  <c r="AM25" i="35"/>
  <c r="AN25" i="35" s="1"/>
  <c r="AO25" i="35"/>
  <c r="AM30" i="35"/>
  <c r="AN30" i="35" s="1"/>
  <c r="AO30" i="35" s="1"/>
  <c r="AM29" i="35"/>
  <c r="AN29" i="35"/>
  <c r="AO29" i="35"/>
  <c r="AM33" i="35"/>
  <c r="AN33" i="35"/>
  <c r="AO33" i="35"/>
  <c r="AM4" i="35"/>
  <c r="AN4" i="35" s="1"/>
  <c r="AO4" i="35" s="1"/>
  <c r="AM3" i="35"/>
  <c r="AN3" i="35" s="1"/>
  <c r="AM8" i="35"/>
  <c r="AN8" i="35"/>
  <c r="AO8" i="35"/>
  <c r="AM7" i="35"/>
  <c r="AN7" i="35" s="1"/>
  <c r="AO7" i="35"/>
  <c r="AM12" i="35"/>
  <c r="AN12" i="35"/>
  <c r="AO12" i="35" s="1"/>
  <c r="AM11" i="35"/>
  <c r="AN11" i="35"/>
  <c r="AO11" i="35" s="1"/>
  <c r="AM16" i="35"/>
  <c r="AN16" i="35"/>
  <c r="AO16" i="35" s="1"/>
  <c r="AM15" i="35"/>
  <c r="AN15" i="35" s="1"/>
  <c r="AO15" i="35"/>
  <c r="AM20" i="35"/>
  <c r="AN20" i="35" s="1"/>
  <c r="AO20" i="35" s="1"/>
  <c r="AM19" i="35"/>
  <c r="AN19" i="35"/>
  <c r="AO19" i="35"/>
  <c r="AM24" i="35"/>
  <c r="AN24" i="35"/>
  <c r="AO24" i="35"/>
  <c r="AM23" i="35"/>
  <c r="AN23" i="35" s="1"/>
  <c r="AO23" i="35" s="1"/>
  <c r="AM28" i="35"/>
  <c r="AN28" i="35"/>
  <c r="AO28" i="35" s="1"/>
  <c r="AM27" i="35"/>
  <c r="AN27" i="35" s="1"/>
  <c r="AO27" i="35" s="1"/>
  <c r="AM32" i="35"/>
  <c r="AN32" i="35"/>
  <c r="AO32" i="35"/>
  <c r="AM31" i="35"/>
  <c r="AN31" i="35" s="1"/>
  <c r="AO31" i="35"/>
  <c r="AJ36" i="35"/>
  <c r="AM6" i="36"/>
  <c r="AN6" i="36" s="1"/>
  <c r="AO6" i="36" s="1"/>
  <c r="AM5" i="36"/>
  <c r="AN5" i="36"/>
  <c r="AO5" i="36" s="1"/>
  <c r="AM10" i="36"/>
  <c r="AN10" i="36" s="1"/>
  <c r="AO10" i="36"/>
  <c r="AM9" i="36"/>
  <c r="AN9" i="36"/>
  <c r="AO9" i="36" s="1"/>
  <c r="AM14" i="36"/>
  <c r="AN14" i="36" s="1"/>
  <c r="AO14" i="36"/>
  <c r="AM13" i="36"/>
  <c r="AN13" i="36" s="1"/>
  <c r="AO13" i="36" s="1"/>
  <c r="AM18" i="36"/>
  <c r="AN18" i="36"/>
  <c r="AO18" i="36"/>
  <c r="AM17" i="36"/>
  <c r="AN17" i="36"/>
  <c r="AO17" i="36"/>
  <c r="AM22" i="36"/>
  <c r="AN22" i="36" s="1"/>
  <c r="AO22" i="36" s="1"/>
  <c r="AM21" i="36"/>
  <c r="AN21" i="36"/>
  <c r="AO21" i="36" s="1"/>
  <c r="AM26" i="36"/>
  <c r="AN26" i="36" s="1"/>
  <c r="AO26" i="36"/>
  <c r="AM25" i="36"/>
  <c r="AN25" i="36"/>
  <c r="AO25" i="36" s="1"/>
  <c r="AM30" i="36"/>
  <c r="AN30" i="36" s="1"/>
  <c r="AO30" i="36"/>
  <c r="AM29" i="36"/>
  <c r="AN29" i="36" s="1"/>
  <c r="AO29" i="36" s="1"/>
  <c r="AM33" i="36"/>
  <c r="AN33" i="36"/>
  <c r="AO33" i="36"/>
  <c r="AM4" i="36"/>
  <c r="AN4" i="36"/>
  <c r="AM3" i="36"/>
  <c r="AN3" i="36"/>
  <c r="AN36" i="36" s="1"/>
  <c r="AN37" i="36" s="1"/>
  <c r="AM8" i="36"/>
  <c r="AN8" i="36"/>
  <c r="AO8" i="36"/>
  <c r="AM7" i="36"/>
  <c r="AN7" i="36" s="1"/>
  <c r="AO7" i="36" s="1"/>
  <c r="AM12" i="36"/>
  <c r="AN12" i="36"/>
  <c r="AO12" i="36" s="1"/>
  <c r="AM11" i="36"/>
  <c r="AN11" i="36" s="1"/>
  <c r="AO11" i="36"/>
  <c r="AM16" i="36"/>
  <c r="AN16" i="36"/>
  <c r="AO16" i="36" s="1"/>
  <c r="AM15" i="36"/>
  <c r="AN15" i="36" s="1"/>
  <c r="AO15" i="36"/>
  <c r="AM20" i="36"/>
  <c r="AN20" i="36"/>
  <c r="AO20" i="36" s="1"/>
  <c r="AM19" i="36"/>
  <c r="AN19" i="36"/>
  <c r="AO19" i="36" s="1"/>
  <c r="AM24" i="36"/>
  <c r="AN24" i="36"/>
  <c r="AO24" i="36"/>
  <c r="AM23" i="36"/>
  <c r="AN23" i="36" s="1"/>
  <c r="AO23" i="36"/>
  <c r="AM28" i="36"/>
  <c r="AN28" i="36"/>
  <c r="AO28" i="36" s="1"/>
  <c r="AM27" i="36"/>
  <c r="AN27" i="36"/>
  <c r="AO27" i="36"/>
  <c r="AM32" i="36"/>
  <c r="AN32" i="36"/>
  <c r="AO32" i="36"/>
  <c r="AM31" i="36"/>
  <c r="AN31" i="36" s="1"/>
  <c r="AO31" i="36"/>
  <c r="AJ36" i="36"/>
  <c r="AM6" i="37"/>
  <c r="AN6" i="37" s="1"/>
  <c r="AO6" i="37"/>
  <c r="AM5" i="37"/>
  <c r="AN5" i="37" s="1"/>
  <c r="AO5" i="37" s="1"/>
  <c r="AM10" i="37"/>
  <c r="AN10" i="37"/>
  <c r="AO10" i="37"/>
  <c r="AM9" i="37"/>
  <c r="AN9" i="37"/>
  <c r="AO9" i="37"/>
  <c r="AM14" i="37"/>
  <c r="AN14" i="37" s="1"/>
  <c r="AO14" i="37" s="1"/>
  <c r="AM13" i="37"/>
  <c r="AN13" i="37"/>
  <c r="AO13" i="37" s="1"/>
  <c r="AM18" i="37"/>
  <c r="AN18" i="37" s="1"/>
  <c r="AO18" i="37" s="1"/>
  <c r="AM17" i="37"/>
  <c r="AN17" i="37"/>
  <c r="AO17" i="37" s="1"/>
  <c r="AM22" i="37"/>
  <c r="AN22" i="37" s="1"/>
  <c r="AO22" i="37"/>
  <c r="AM21" i="37"/>
  <c r="AN21" i="37" s="1"/>
  <c r="AO21" i="37" s="1"/>
  <c r="AM26" i="37"/>
  <c r="AN26" i="37"/>
  <c r="AO26" i="37"/>
  <c r="AM25" i="37"/>
  <c r="AN25" i="37"/>
  <c r="AO25" i="37"/>
  <c r="AM30" i="37"/>
  <c r="AN30" i="37" s="1"/>
  <c r="AO30" i="37" s="1"/>
  <c r="AM29" i="37"/>
  <c r="AN29" i="37"/>
  <c r="AO29" i="37" s="1"/>
  <c r="AM33" i="37"/>
  <c r="AN33" i="37" s="1"/>
  <c r="AO33" i="37" s="1"/>
  <c r="AM4" i="37"/>
  <c r="AN4" i="37"/>
  <c r="AO4" i="37" s="1"/>
  <c r="AM3" i="37"/>
  <c r="AN3" i="37" s="1"/>
  <c r="AM8" i="37"/>
  <c r="AN8" i="37"/>
  <c r="AO8" i="37" s="1"/>
  <c r="AM7" i="37"/>
  <c r="AN7" i="37"/>
  <c r="AO7" i="37"/>
  <c r="AM12" i="37"/>
  <c r="AN12" i="37" s="1"/>
  <c r="AO12" i="37"/>
  <c r="AM11" i="37"/>
  <c r="AN11" i="37"/>
  <c r="AO11" i="37" s="1"/>
  <c r="AM16" i="37"/>
  <c r="AN16" i="37"/>
  <c r="AO16" i="37"/>
  <c r="AM15" i="37"/>
  <c r="AN15" i="37"/>
  <c r="AO15" i="37"/>
  <c r="AM20" i="37"/>
  <c r="AN20" i="37" s="1"/>
  <c r="AO20" i="37"/>
  <c r="AM19" i="37"/>
  <c r="AN19" i="37"/>
  <c r="AO19" i="37" s="1"/>
  <c r="AM24" i="37"/>
  <c r="AN24" i="37"/>
  <c r="AO24" i="37" s="1"/>
  <c r="AM28" i="37"/>
  <c r="AN28" i="37" s="1"/>
  <c r="AO28" i="37" s="1"/>
  <c r="AM27" i="37"/>
  <c r="AN27" i="37"/>
  <c r="AO27" i="37" s="1"/>
  <c r="AM32" i="37"/>
  <c r="AN32" i="37" s="1"/>
  <c r="AO32" i="37" s="1"/>
  <c r="AM31" i="37"/>
  <c r="AN31" i="37"/>
  <c r="AO31" i="37" s="1"/>
  <c r="AM6" i="38"/>
  <c r="AN6" i="38"/>
  <c r="AO6" i="38" s="1"/>
  <c r="AM5" i="38"/>
  <c r="AN5" i="38" s="1"/>
  <c r="AO5" i="38"/>
  <c r="AM10" i="38"/>
  <c r="AN10" i="38" s="1"/>
  <c r="AO10" i="38" s="1"/>
  <c r="AM9" i="38"/>
  <c r="AN9" i="38"/>
  <c r="AO9" i="38"/>
  <c r="AM14" i="38"/>
  <c r="AN14" i="38"/>
  <c r="AO14" i="38"/>
  <c r="AM13" i="38"/>
  <c r="AN13" i="38" s="1"/>
  <c r="AO13" i="38" s="1"/>
  <c r="AM18" i="38"/>
  <c r="AN18" i="38"/>
  <c r="AO18" i="38" s="1"/>
  <c r="AM17" i="38"/>
  <c r="AN17" i="38" s="1"/>
  <c r="AO17" i="38" s="1"/>
  <c r="AM22" i="38"/>
  <c r="AN22" i="38"/>
  <c r="AO22" i="38" s="1"/>
  <c r="AM21" i="38"/>
  <c r="AN21" i="38" s="1"/>
  <c r="AO21" i="38"/>
  <c r="AM26" i="38"/>
  <c r="AN26" i="38" s="1"/>
  <c r="AO26" i="38" s="1"/>
  <c r="AM25" i="38"/>
  <c r="AN25" i="38"/>
  <c r="AO25" i="38"/>
  <c r="AM30" i="38"/>
  <c r="AN30" i="38"/>
  <c r="AO30" i="38"/>
  <c r="AM29" i="38"/>
  <c r="AN29" i="38" s="1"/>
  <c r="AO29" i="38" s="1"/>
  <c r="AM33" i="38"/>
  <c r="AN33" i="38"/>
  <c r="AO33" i="38" s="1"/>
  <c r="AM4" i="38"/>
  <c r="AN4" i="38" s="1"/>
  <c r="AM3" i="38"/>
  <c r="AN3" i="38" s="1"/>
  <c r="AO3" i="38" s="1"/>
  <c r="AM8" i="38"/>
  <c r="AN8" i="38"/>
  <c r="AO8" i="38" s="1"/>
  <c r="AM7" i="38"/>
  <c r="AN7" i="38"/>
  <c r="AO7" i="38"/>
  <c r="AM12" i="38"/>
  <c r="AN12" i="38" s="1"/>
  <c r="AO12" i="38"/>
  <c r="AM11" i="38"/>
  <c r="AN11" i="38"/>
  <c r="AO11" i="38" s="1"/>
  <c r="AM16" i="38"/>
  <c r="AN16" i="38"/>
  <c r="AO16" i="38"/>
  <c r="AM15" i="38"/>
  <c r="AN15" i="38"/>
  <c r="AO15" i="38"/>
  <c r="AM20" i="38"/>
  <c r="AN20" i="38" s="1"/>
  <c r="AO20" i="38"/>
  <c r="AM19" i="38"/>
  <c r="AN19" i="38"/>
  <c r="AO19" i="38" s="1"/>
  <c r="AM24" i="38"/>
  <c r="AN24" i="38"/>
  <c r="AO24" i="38" s="1"/>
  <c r="AM23" i="38"/>
  <c r="AN23" i="38"/>
  <c r="AO23" i="38"/>
  <c r="AM28" i="38"/>
  <c r="AN28" i="38" s="1"/>
  <c r="AO28" i="38"/>
  <c r="AM27" i="38"/>
  <c r="AN27" i="38"/>
  <c r="AO27" i="38" s="1"/>
  <c r="AM32" i="38"/>
  <c r="AN32" i="38"/>
  <c r="AO32" i="38"/>
  <c r="AM31" i="38"/>
  <c r="AN31" i="38"/>
  <c r="AO31" i="38"/>
  <c r="AJ36" i="38"/>
  <c r="AM6" i="39"/>
  <c r="AN6" i="39"/>
  <c r="AO6" i="39"/>
  <c r="AM5" i="39"/>
  <c r="AN5" i="39" s="1"/>
  <c r="AO5" i="39"/>
  <c r="AM10" i="39"/>
  <c r="AN10" i="39"/>
  <c r="AO10" i="39" s="1"/>
  <c r="AM9" i="39"/>
  <c r="AN9" i="39"/>
  <c r="AO9" i="39" s="1"/>
  <c r="AM14" i="39"/>
  <c r="AN14" i="39"/>
  <c r="AO14" i="39"/>
  <c r="AM13" i="39"/>
  <c r="AN13" i="39" s="1"/>
  <c r="AO13" i="39"/>
  <c r="AM18" i="39"/>
  <c r="AN18" i="39"/>
  <c r="AO18" i="39" s="1"/>
  <c r="AM17" i="39"/>
  <c r="AN17" i="39"/>
  <c r="AO17" i="39"/>
  <c r="AM22" i="39"/>
  <c r="AN22" i="39"/>
  <c r="AO22" i="39"/>
  <c r="AM21" i="39"/>
  <c r="AN21" i="39" s="1"/>
  <c r="AO21" i="39"/>
  <c r="AM26" i="39"/>
  <c r="AN26" i="39"/>
  <c r="AO26" i="39" s="1"/>
  <c r="AM25" i="39"/>
  <c r="AN25" i="39"/>
  <c r="AO25" i="39" s="1"/>
  <c r="AM30" i="39"/>
  <c r="AN30" i="39"/>
  <c r="AO30" i="39"/>
  <c r="AM29" i="39"/>
  <c r="AN29" i="39" s="1"/>
  <c r="AO29" i="39"/>
  <c r="AM33" i="39"/>
  <c r="AN33" i="39"/>
  <c r="AO33" i="39" s="1"/>
  <c r="AM4" i="39"/>
  <c r="AN4" i="39"/>
  <c r="AO4" i="39"/>
  <c r="AM3" i="39"/>
  <c r="AN3" i="39"/>
  <c r="AO3" i="39" s="1"/>
  <c r="AM8" i="39"/>
  <c r="AN8" i="39"/>
  <c r="AO8" i="39" s="1"/>
  <c r="AM7" i="39"/>
  <c r="AN7" i="39" s="1"/>
  <c r="AM12" i="39"/>
  <c r="AN12" i="39"/>
  <c r="AO12" i="39" s="1"/>
  <c r="AM11" i="39"/>
  <c r="AN11" i="39" s="1"/>
  <c r="AO11" i="39"/>
  <c r="AM16" i="39"/>
  <c r="AN16" i="39" s="1"/>
  <c r="AO16" i="39" s="1"/>
  <c r="AM15" i="39"/>
  <c r="AN15" i="39"/>
  <c r="AO15" i="39"/>
  <c r="AM20" i="39"/>
  <c r="AN20" i="39"/>
  <c r="AO20" i="39"/>
  <c r="AM19" i="39"/>
  <c r="AN19" i="39" s="1"/>
  <c r="AO19" i="39" s="1"/>
  <c r="AM24" i="39"/>
  <c r="AN24" i="39"/>
  <c r="AO24" i="39" s="1"/>
  <c r="AM23" i="39"/>
  <c r="AN23" i="39" s="1"/>
  <c r="AO23" i="39" s="1"/>
  <c r="AM28" i="39"/>
  <c r="AN28" i="39"/>
  <c r="AO28" i="39" s="1"/>
  <c r="AM27" i="39"/>
  <c r="AN27" i="39" s="1"/>
  <c r="AO27" i="39"/>
  <c r="AM32" i="39"/>
  <c r="AN32" i="39" s="1"/>
  <c r="AO32" i="39" s="1"/>
  <c r="AM31" i="39"/>
  <c r="AN31" i="39"/>
  <c r="AO31" i="39"/>
  <c r="AJ36" i="39"/>
  <c r="AM6" i="40"/>
  <c r="AN6" i="40"/>
  <c r="AO6" i="40"/>
  <c r="AM5" i="40"/>
  <c r="AN5" i="40"/>
  <c r="AO5" i="40"/>
  <c r="AM10" i="40"/>
  <c r="AN10" i="40" s="1"/>
  <c r="AO10" i="40" s="1"/>
  <c r="AM9" i="40"/>
  <c r="AN9" i="40"/>
  <c r="AO9" i="40" s="1"/>
  <c r="AM14" i="40"/>
  <c r="AN14" i="40" s="1"/>
  <c r="AO14" i="40" s="1"/>
  <c r="AM13" i="40"/>
  <c r="AN13" i="40"/>
  <c r="AO13" i="40" s="1"/>
  <c r="AM18" i="40"/>
  <c r="AN18" i="40" s="1"/>
  <c r="AO18" i="40"/>
  <c r="AM17" i="40"/>
  <c r="AN17" i="40" s="1"/>
  <c r="AO17" i="40" s="1"/>
  <c r="AM22" i="40"/>
  <c r="AN22" i="40"/>
  <c r="AO22" i="40"/>
  <c r="AM21" i="40"/>
  <c r="AN21" i="40"/>
  <c r="AO21" i="40"/>
  <c r="AM26" i="40"/>
  <c r="AN26" i="40" s="1"/>
  <c r="AO26" i="40" s="1"/>
  <c r="AM25" i="40"/>
  <c r="AN25" i="40"/>
  <c r="AO25" i="40" s="1"/>
  <c r="AM30" i="40"/>
  <c r="AN30" i="40" s="1"/>
  <c r="AO30" i="40" s="1"/>
  <c r="AM29" i="40"/>
  <c r="AN29" i="40"/>
  <c r="AO29" i="40" s="1"/>
  <c r="AM33" i="40"/>
  <c r="AN33" i="40" s="1"/>
  <c r="AO33" i="40"/>
  <c r="AM4" i="40"/>
  <c r="AN4" i="40" s="1"/>
  <c r="AO4" i="40" s="1"/>
  <c r="AM3" i="40"/>
  <c r="AN3" i="40"/>
  <c r="AM8" i="40"/>
  <c r="AN8" i="40" s="1"/>
  <c r="AO8" i="40" s="1"/>
  <c r="AM7" i="40"/>
  <c r="AN7" i="40"/>
  <c r="AO7" i="40"/>
  <c r="AM12" i="40"/>
  <c r="AN12" i="40"/>
  <c r="AO12" i="40"/>
  <c r="AM11" i="40"/>
  <c r="AN11" i="40" s="1"/>
  <c r="AO11" i="40" s="1"/>
  <c r="AM16" i="40"/>
  <c r="AN16" i="40"/>
  <c r="AO16" i="40" s="1"/>
  <c r="AM15" i="40"/>
  <c r="AN15" i="40" s="1"/>
  <c r="AO15" i="40" s="1"/>
  <c r="AM20" i="40"/>
  <c r="AN20" i="40"/>
  <c r="AO20" i="40" s="1"/>
  <c r="AM19" i="40"/>
  <c r="AN19" i="40" s="1"/>
  <c r="AO19" i="40"/>
  <c r="AM24" i="40"/>
  <c r="AN24" i="40" s="1"/>
  <c r="AO24" i="40" s="1"/>
  <c r="AM23" i="40"/>
  <c r="AN23" i="40"/>
  <c r="AO23" i="40"/>
  <c r="AM28" i="40"/>
  <c r="AN28" i="40"/>
  <c r="AO28" i="40"/>
  <c r="AM27" i="40"/>
  <c r="AN27" i="40" s="1"/>
  <c r="AO27" i="40" s="1"/>
  <c r="AM32" i="40"/>
  <c r="AN32" i="40"/>
  <c r="AO32" i="40" s="1"/>
  <c r="AM31" i="40"/>
  <c r="AN31" i="40" s="1"/>
  <c r="AO31" i="40" s="1"/>
  <c r="AM6" i="41"/>
  <c r="AN6" i="41"/>
  <c r="AO6" i="41" s="1"/>
  <c r="AM5" i="41"/>
  <c r="AN5" i="41"/>
  <c r="AO5" i="41"/>
  <c r="AM10" i="41"/>
  <c r="AN10" i="41" s="1"/>
  <c r="AO10" i="41"/>
  <c r="AM9" i="41"/>
  <c r="AN9" i="41"/>
  <c r="AO9" i="41" s="1"/>
  <c r="AM14" i="41"/>
  <c r="AN14" i="41"/>
  <c r="AO14" i="41"/>
  <c r="AM18" i="41"/>
  <c r="AN18" i="41" s="1"/>
  <c r="AO18" i="41"/>
  <c r="AM17" i="41"/>
  <c r="AN17" i="41" s="1"/>
  <c r="AO17" i="41" s="1"/>
  <c r="AM22" i="41"/>
  <c r="AN22" i="41"/>
  <c r="AO22" i="41"/>
  <c r="AM21" i="41"/>
  <c r="AN21" i="41"/>
  <c r="AO21" i="41"/>
  <c r="AM26" i="41"/>
  <c r="AN26" i="41" s="1"/>
  <c r="AO26" i="41" s="1"/>
  <c r="AM25" i="41"/>
  <c r="AN25" i="41"/>
  <c r="AO25" i="41" s="1"/>
  <c r="AM30" i="41"/>
  <c r="AN30" i="41" s="1"/>
  <c r="AO30" i="41" s="1"/>
  <c r="AM29" i="41"/>
  <c r="AN29" i="41"/>
  <c r="AO29" i="41" s="1"/>
  <c r="AM33" i="41"/>
  <c r="AN33" i="41" s="1"/>
  <c r="AO33" i="41"/>
  <c r="AM4" i="41"/>
  <c r="AN4" i="41" s="1"/>
  <c r="AM3" i="41"/>
  <c r="AN3" i="41"/>
  <c r="AO3" i="41" s="1"/>
  <c r="AM8" i="41"/>
  <c r="AN8" i="41" s="1"/>
  <c r="AO8" i="41" s="1"/>
  <c r="AM7" i="41"/>
  <c r="AN7" i="41"/>
  <c r="AO7" i="41" s="1"/>
  <c r="AM12" i="41"/>
  <c r="AN12" i="41" s="1"/>
  <c r="AO12" i="41" s="1"/>
  <c r="AM11" i="41"/>
  <c r="AN11" i="41"/>
  <c r="AO11" i="41" s="1"/>
  <c r="AM16" i="41"/>
  <c r="AN16" i="41" s="1"/>
  <c r="AO16" i="41"/>
  <c r="AM15" i="41"/>
  <c r="AN15" i="41" s="1"/>
  <c r="AO15" i="41" s="1"/>
  <c r="AM20" i="41"/>
  <c r="AN20" i="41"/>
  <c r="AO20" i="41"/>
  <c r="AM19" i="41"/>
  <c r="AN19" i="41"/>
  <c r="AO19" i="41"/>
  <c r="AM24" i="41"/>
  <c r="AN24" i="41" s="1"/>
  <c r="AO24" i="41" s="1"/>
  <c r="AM23" i="41"/>
  <c r="AN23" i="41"/>
  <c r="AO23" i="41" s="1"/>
  <c r="AM28" i="41"/>
  <c r="AN28" i="41" s="1"/>
  <c r="AO28" i="41" s="1"/>
  <c r="AM27" i="41"/>
  <c r="AN27" i="41"/>
  <c r="AO27" i="41" s="1"/>
  <c r="AM32" i="41"/>
  <c r="AN32" i="41" s="1"/>
  <c r="AO32" i="41"/>
  <c r="AM31" i="41"/>
  <c r="AN31" i="41" s="1"/>
  <c r="AO31" i="41" s="1"/>
  <c r="AM6" i="42"/>
  <c r="AN6" i="42"/>
  <c r="AO6" i="42" s="1"/>
  <c r="AM5" i="42"/>
  <c r="AN5" i="42"/>
  <c r="AO5" i="42"/>
  <c r="AM10" i="42"/>
  <c r="AN10" i="42"/>
  <c r="AO10" i="42"/>
  <c r="AM9" i="42"/>
  <c r="AN9" i="42" s="1"/>
  <c r="AO9" i="42"/>
  <c r="AM14" i="42"/>
  <c r="AN14" i="42"/>
  <c r="AO14" i="42" s="1"/>
  <c r="AM13" i="42"/>
  <c r="AN13" i="42"/>
  <c r="AO13" i="42" s="1"/>
  <c r="AM18" i="42"/>
  <c r="AN18" i="42"/>
  <c r="AO18" i="42"/>
  <c r="AM17" i="42"/>
  <c r="AN17" i="42" s="1"/>
  <c r="AO17" i="42"/>
  <c r="AM22" i="42"/>
  <c r="AN22" i="42"/>
  <c r="AO22" i="42" s="1"/>
  <c r="AM21" i="42"/>
  <c r="AN21" i="42"/>
  <c r="AO21" i="42"/>
  <c r="AM26" i="42"/>
  <c r="AN26" i="42"/>
  <c r="AO26" i="42"/>
  <c r="AM25" i="42"/>
  <c r="AN25" i="42" s="1"/>
  <c r="AO25" i="42"/>
  <c r="AM30" i="42"/>
  <c r="AN30" i="42"/>
  <c r="AO30" i="42" s="1"/>
  <c r="AM29" i="42"/>
  <c r="AN29" i="42"/>
  <c r="AO29" i="42" s="1"/>
  <c r="AM33" i="42"/>
  <c r="AN33" i="42"/>
  <c r="AO33" i="42"/>
  <c r="AM4" i="42"/>
  <c r="AN4" i="42" s="1"/>
  <c r="AM3" i="42"/>
  <c r="AN3" i="42"/>
  <c r="AO3" i="42" s="1"/>
  <c r="AM8" i="42"/>
  <c r="AN8" i="42" s="1"/>
  <c r="AO8" i="42" s="1"/>
  <c r="AM7" i="42"/>
  <c r="AN7" i="42"/>
  <c r="AO7" i="42" s="1"/>
  <c r="AM12" i="42"/>
  <c r="AN12" i="42" s="1"/>
  <c r="AO12" i="42" s="1"/>
  <c r="AM11" i="42"/>
  <c r="AN11" i="42"/>
  <c r="AO11" i="42" s="1"/>
  <c r="AM16" i="42"/>
  <c r="AN16" i="42" s="1"/>
  <c r="AO16" i="42"/>
  <c r="AM15" i="42"/>
  <c r="AN15" i="42" s="1"/>
  <c r="AO15" i="42" s="1"/>
  <c r="AM20" i="42"/>
  <c r="AN20" i="42"/>
  <c r="AO20" i="42"/>
  <c r="AM19" i="42"/>
  <c r="AN19" i="42"/>
  <c r="AO19" i="42"/>
  <c r="AM24" i="42"/>
  <c r="AN24" i="42" s="1"/>
  <c r="AO24" i="42" s="1"/>
  <c r="AM23" i="42"/>
  <c r="AN23" i="42"/>
  <c r="AO23" i="42" s="1"/>
  <c r="AM28" i="42"/>
  <c r="AN28" i="42" s="1"/>
  <c r="AO28" i="42" s="1"/>
  <c r="AM27" i="42"/>
  <c r="AN27" i="42"/>
  <c r="AO27" i="42" s="1"/>
  <c r="AM32" i="42"/>
  <c r="AN32" i="42" s="1"/>
  <c r="AO32" i="42"/>
  <c r="AM31" i="42"/>
  <c r="AN31" i="42" s="1"/>
  <c r="AO31" i="42" s="1"/>
  <c r="AJ36" i="42"/>
  <c r="AM6" i="43"/>
  <c r="AN6" i="43"/>
  <c r="AO6" i="43" s="1"/>
  <c r="AM5" i="43"/>
  <c r="AN5" i="43"/>
  <c r="AO5" i="43"/>
  <c r="AM10" i="43"/>
  <c r="AN10" i="43"/>
  <c r="AO10" i="43"/>
  <c r="AM9" i="43"/>
  <c r="AN9" i="43" s="1"/>
  <c r="AO9" i="43"/>
  <c r="AM14" i="43"/>
  <c r="AN14" i="43"/>
  <c r="AO14" i="43" s="1"/>
  <c r="AM13" i="43"/>
  <c r="AN13" i="43"/>
  <c r="AO13" i="43" s="1"/>
  <c r="AM18" i="43"/>
  <c r="AN18" i="43"/>
  <c r="AO18" i="43"/>
  <c r="AM17" i="43"/>
  <c r="AN17" i="43" s="1"/>
  <c r="AO17" i="43"/>
  <c r="AM22" i="43"/>
  <c r="AN22" i="43"/>
  <c r="AO22" i="43" s="1"/>
  <c r="AM21" i="43"/>
  <c r="AN21" i="43"/>
  <c r="AO21" i="43"/>
  <c r="AM26" i="43"/>
  <c r="AN26" i="43"/>
  <c r="AO26" i="43"/>
  <c r="AM25" i="43"/>
  <c r="AN25" i="43" s="1"/>
  <c r="AO25" i="43"/>
  <c r="AM30" i="43"/>
  <c r="AN30" i="43"/>
  <c r="AO30" i="43" s="1"/>
  <c r="AM29" i="43"/>
  <c r="AN29" i="43"/>
  <c r="AO29" i="43" s="1"/>
  <c r="AM33" i="43"/>
  <c r="AN33" i="43"/>
  <c r="AO33" i="43"/>
  <c r="AM4" i="43"/>
  <c r="AN4" i="43" s="1"/>
  <c r="AO4" i="43"/>
  <c r="AM3" i="43"/>
  <c r="AN3" i="43"/>
  <c r="AM8" i="43"/>
  <c r="AN8" i="43"/>
  <c r="AO8" i="43"/>
  <c r="AM7" i="43"/>
  <c r="AN7" i="43" s="1"/>
  <c r="AO7" i="43" s="1"/>
  <c r="AM12" i="43"/>
  <c r="AN12" i="43"/>
  <c r="AO12" i="43" s="1"/>
  <c r="AM11" i="43"/>
  <c r="AN11" i="43" s="1"/>
  <c r="AO11" i="43" s="1"/>
  <c r="AM16" i="43"/>
  <c r="AN16" i="43"/>
  <c r="AO16" i="43" s="1"/>
  <c r="AM15" i="43"/>
  <c r="AN15" i="43" s="1"/>
  <c r="AO15" i="43"/>
  <c r="AM20" i="43"/>
  <c r="AN20" i="43" s="1"/>
  <c r="AO20" i="43" s="1"/>
  <c r="AM19" i="43"/>
  <c r="AN19" i="43"/>
  <c r="AO19" i="43"/>
  <c r="AM24" i="43"/>
  <c r="AN24" i="43"/>
  <c r="AO24" i="43"/>
  <c r="AM23" i="43"/>
  <c r="AN23" i="43" s="1"/>
  <c r="AO23" i="43" s="1"/>
  <c r="AM28" i="43"/>
  <c r="AN28" i="43"/>
  <c r="AO28" i="43" s="1"/>
  <c r="AM27" i="43"/>
  <c r="AN27" i="43" s="1"/>
  <c r="AO27" i="43" s="1"/>
  <c r="AM32" i="43"/>
  <c r="AN32" i="43"/>
  <c r="AO32" i="43" s="1"/>
  <c r="AM31" i="43"/>
  <c r="AN31" i="43" s="1"/>
  <c r="AO31" i="43"/>
  <c r="AJ36" i="43"/>
  <c r="AM6" i="44"/>
  <c r="AN6" i="44" s="1"/>
  <c r="AO6" i="44" s="1"/>
  <c r="AM5" i="44"/>
  <c r="AN5" i="44" s="1"/>
  <c r="AO5" i="44" s="1"/>
  <c r="AM10" i="44"/>
  <c r="AN10" i="44" s="1"/>
  <c r="AO10" i="44"/>
  <c r="AM9" i="44"/>
  <c r="AN9" i="44"/>
  <c r="AO9" i="44" s="1"/>
  <c r="AM14" i="44"/>
  <c r="AN14" i="44" s="1"/>
  <c r="AO14" i="44" s="1"/>
  <c r="AM13" i="44"/>
  <c r="AN13" i="44" s="1"/>
  <c r="AO13" i="44" s="1"/>
  <c r="AM18" i="44"/>
  <c r="AN18" i="44" s="1"/>
  <c r="AO18" i="44" s="1"/>
  <c r="AM17" i="44"/>
  <c r="AN17" i="44" s="1"/>
  <c r="AO17" i="44" s="1"/>
  <c r="AM22" i="44"/>
  <c r="AN22" i="44" s="1"/>
  <c r="AO22" i="44"/>
  <c r="AM21" i="44"/>
  <c r="AN21" i="44"/>
  <c r="AO21" i="44" s="1"/>
  <c r="AM25" i="44"/>
  <c r="AN25" i="44" s="1"/>
  <c r="AO25" i="44" s="1"/>
  <c r="AM30" i="44"/>
  <c r="AN30" i="44" s="1"/>
  <c r="AO30" i="44"/>
  <c r="AM29" i="44"/>
  <c r="AN29" i="44"/>
  <c r="AO29" i="44" s="1"/>
  <c r="AM33" i="44"/>
  <c r="AN33" i="44"/>
  <c r="AO33" i="44" s="1"/>
  <c r="AM4" i="44"/>
  <c r="AN4" i="44"/>
  <c r="AO4" i="44" s="1"/>
  <c r="AM3" i="44"/>
  <c r="AN3" i="44"/>
  <c r="AM8" i="44"/>
  <c r="AN8" i="44" s="1"/>
  <c r="AO8" i="44" s="1"/>
  <c r="AM7" i="44"/>
  <c r="AN7" i="44" s="1"/>
  <c r="AO7" i="44"/>
  <c r="AM12" i="44"/>
  <c r="AN12" i="44"/>
  <c r="AO12" i="44" s="1"/>
  <c r="AM11" i="44"/>
  <c r="AN11" i="44" s="1"/>
  <c r="AO11" i="44" s="1"/>
  <c r="AM16" i="44"/>
  <c r="AN16" i="44"/>
  <c r="AO16" i="44" s="1"/>
  <c r="AM15" i="44"/>
  <c r="AN15" i="44" s="1"/>
  <c r="AO15" i="44" s="1"/>
  <c r="AM20" i="44"/>
  <c r="AN20" i="44" s="1"/>
  <c r="AO20" i="44" s="1"/>
  <c r="AM19" i="44"/>
  <c r="AN19" i="44" s="1"/>
  <c r="AO19" i="44" s="1"/>
  <c r="AM24" i="44"/>
  <c r="AN24" i="44" s="1"/>
  <c r="AO24" i="44" s="1"/>
  <c r="AM23" i="44"/>
  <c r="AN23" i="44"/>
  <c r="AO23" i="44" s="1"/>
  <c r="AM28" i="44"/>
  <c r="AN28" i="44" s="1"/>
  <c r="AO28" i="44" s="1"/>
  <c r="AM27" i="44"/>
  <c r="AN27" i="44" s="1"/>
  <c r="AO27" i="44" s="1"/>
  <c r="AM32" i="44"/>
  <c r="AN32" i="44" s="1"/>
  <c r="AO32" i="44" s="1"/>
  <c r="AM31" i="44"/>
  <c r="AN31" i="44" s="1"/>
  <c r="AO31" i="44" s="1"/>
  <c r="AM3" i="45"/>
  <c r="AN3" i="45"/>
  <c r="AO3" i="45" s="1"/>
  <c r="AM6" i="45"/>
  <c r="AN6" i="45"/>
  <c r="AO6" i="45" s="1"/>
  <c r="AM7" i="45"/>
  <c r="AN7" i="45"/>
  <c r="AO7" i="45" s="1"/>
  <c r="AM10" i="45"/>
  <c r="AN10" i="45"/>
  <c r="AO10" i="45" s="1"/>
  <c r="AM11" i="45"/>
  <c r="AN11" i="45" s="1"/>
  <c r="AO11" i="45" s="1"/>
  <c r="AM14" i="45"/>
  <c r="AN14" i="45" s="1"/>
  <c r="AO14" i="45" s="1"/>
  <c r="AM15" i="45"/>
  <c r="AN15" i="45" s="1"/>
  <c r="AO15" i="45"/>
  <c r="AM18" i="45"/>
  <c r="AN18" i="45"/>
  <c r="AO18" i="45" s="1"/>
  <c r="AM19" i="45"/>
  <c r="AN19" i="45" s="1"/>
  <c r="AO19" i="45" s="1"/>
  <c r="AM22" i="45"/>
  <c r="AN22" i="45" s="1"/>
  <c r="AO22" i="45" s="1"/>
  <c r="AM23" i="45"/>
  <c r="AN23" i="45" s="1"/>
  <c r="AO23" i="45" s="1"/>
  <c r="AM26" i="45"/>
  <c r="AN26" i="45" s="1"/>
  <c r="AO26" i="45" s="1"/>
  <c r="AM27" i="45"/>
  <c r="AN27" i="45" s="1"/>
  <c r="AO27" i="45"/>
  <c r="AM30" i="45"/>
  <c r="AN30" i="45"/>
  <c r="AO30" i="45" s="1"/>
  <c r="AM31" i="45"/>
  <c r="AN31" i="45"/>
  <c r="AO31" i="45" s="1"/>
  <c r="AM4" i="45"/>
  <c r="AN4" i="45" s="1"/>
  <c r="AO4" i="45" s="1"/>
  <c r="AM5" i="45"/>
  <c r="AN5" i="45" s="1"/>
  <c r="AO5" i="45"/>
  <c r="AM8" i="45"/>
  <c r="AN8" i="45"/>
  <c r="AO8" i="45" s="1"/>
  <c r="AM9" i="45"/>
  <c r="AN9" i="45"/>
  <c r="AO9" i="45" s="1"/>
  <c r="AM12" i="45"/>
  <c r="AN12" i="45"/>
  <c r="AO12" i="45" s="1"/>
  <c r="AM13" i="45"/>
  <c r="AN13" i="45" s="1"/>
  <c r="AO13" i="45" s="1"/>
  <c r="AM16" i="45"/>
  <c r="AN16" i="45" s="1"/>
  <c r="AO16" i="45" s="1"/>
  <c r="AM17" i="45"/>
  <c r="AN17" i="45" s="1"/>
  <c r="AO17" i="45" s="1"/>
  <c r="AM20" i="45"/>
  <c r="AN20" i="45"/>
  <c r="AO20" i="45" s="1"/>
  <c r="AM21" i="45"/>
  <c r="AN21" i="45" s="1"/>
  <c r="AO21" i="45" s="1"/>
  <c r="AM24" i="45"/>
  <c r="AN24" i="45" s="1"/>
  <c r="AO24" i="45" s="1"/>
  <c r="AM25" i="45"/>
  <c r="AN25" i="45" s="1"/>
  <c r="AO25" i="45" s="1"/>
  <c r="AM28" i="45"/>
  <c r="AN28" i="45" s="1"/>
  <c r="AO28" i="45" s="1"/>
  <c r="AM29" i="45"/>
  <c r="AN29" i="45" s="1"/>
  <c r="AO29" i="45"/>
  <c r="AM32" i="45"/>
  <c r="AN32" i="45"/>
  <c r="AO32" i="45" s="1"/>
  <c r="AM33" i="45"/>
  <c r="AN33" i="45"/>
  <c r="AO33" i="45" s="1"/>
  <c r="AM18" i="46"/>
  <c r="AN18" i="46" s="1"/>
  <c r="AO18" i="46" s="1"/>
  <c r="AM22" i="46"/>
  <c r="AN22" i="46"/>
  <c r="AO22" i="46" s="1"/>
  <c r="AM21" i="46"/>
  <c r="AN21" i="46" s="1"/>
  <c r="AO21" i="46" s="1"/>
  <c r="AM26" i="46"/>
  <c r="AN26" i="46" s="1"/>
  <c r="AO26" i="46" s="1"/>
  <c r="AM25" i="46"/>
  <c r="AN25" i="46" s="1"/>
  <c r="AO25" i="46" s="1"/>
  <c r="AM30" i="46"/>
  <c r="AN30" i="46" s="1"/>
  <c r="AO30" i="46" s="1"/>
  <c r="AM29" i="46"/>
  <c r="AN29" i="46" s="1"/>
  <c r="AO29" i="46"/>
  <c r="AM33" i="46"/>
  <c r="AN33" i="46"/>
  <c r="AO33" i="46" s="1"/>
  <c r="AM15" i="46"/>
  <c r="AN15" i="46" s="1"/>
  <c r="AO15" i="46" s="1"/>
  <c r="AM20" i="46"/>
  <c r="AN20" i="46"/>
  <c r="AO20" i="46"/>
  <c r="AM19" i="46"/>
  <c r="AN19" i="46" s="1"/>
  <c r="AO19" i="46" s="1"/>
  <c r="AM24" i="46"/>
  <c r="AN24" i="46"/>
  <c r="AO24" i="46" s="1"/>
  <c r="AM23" i="46"/>
  <c r="AN23" i="46" s="1"/>
  <c r="AO23" i="46" s="1"/>
  <c r="AM28" i="46"/>
  <c r="AN28" i="46" s="1"/>
  <c r="AO28" i="46" s="1"/>
  <c r="AM27" i="46"/>
  <c r="AN27" i="46" s="1"/>
  <c r="AO27" i="46" s="1"/>
  <c r="AM32" i="46"/>
  <c r="AN32" i="46" s="1"/>
  <c r="AO32" i="46" s="1"/>
  <c r="AM31" i="46"/>
  <c r="AN31" i="46"/>
  <c r="AO31" i="46" s="1"/>
  <c r="AM6" i="47"/>
  <c r="AN6" i="47"/>
  <c r="AO6" i="47" s="1"/>
  <c r="AM5" i="47"/>
  <c r="AN5" i="47" s="1"/>
  <c r="AO5" i="47" s="1"/>
  <c r="AM10" i="47"/>
  <c r="AN10" i="47" s="1"/>
  <c r="AO10" i="47" s="1"/>
  <c r="AM9" i="47"/>
  <c r="AN9" i="47" s="1"/>
  <c r="AO9" i="47" s="1"/>
  <c r="AM14" i="47"/>
  <c r="AN14" i="47" s="1"/>
  <c r="AO14" i="47" s="1"/>
  <c r="AM13" i="47"/>
  <c r="AN13" i="47" s="1"/>
  <c r="AO13" i="47" s="1"/>
  <c r="AM18" i="47"/>
  <c r="AN18" i="47" s="1"/>
  <c r="AO18" i="47"/>
  <c r="AM17" i="47"/>
  <c r="AN17" i="47" s="1"/>
  <c r="AO17" i="47" s="1"/>
  <c r="AM22" i="47"/>
  <c r="AN22" i="47" s="1"/>
  <c r="AO22" i="47" s="1"/>
  <c r="AM21" i="47"/>
  <c r="AN21" i="47"/>
  <c r="AO21" i="47" s="1"/>
  <c r="AM26" i="47"/>
  <c r="AN26" i="47" s="1"/>
  <c r="AO26" i="47" s="1"/>
  <c r="AM25" i="47"/>
  <c r="AN25" i="47"/>
  <c r="AO25" i="47" s="1"/>
  <c r="AM30" i="47"/>
  <c r="AN30" i="47" s="1"/>
  <c r="AO30" i="47" s="1"/>
  <c r="AM29" i="47"/>
  <c r="AN29" i="47" s="1"/>
  <c r="AO29" i="47" s="1"/>
  <c r="AM33" i="47"/>
  <c r="AN33" i="47" s="1"/>
  <c r="AO33" i="47" s="1"/>
  <c r="AM4" i="47"/>
  <c r="AN4" i="47" s="1"/>
  <c r="AO4" i="47" s="1"/>
  <c r="AM3" i="47"/>
  <c r="AN3" i="47" s="1"/>
  <c r="AM8" i="47"/>
  <c r="AN8" i="47" s="1"/>
  <c r="AO8" i="47" s="1"/>
  <c r="AM7" i="47"/>
  <c r="AN7" i="47" s="1"/>
  <c r="AO7" i="47" s="1"/>
  <c r="AM12" i="47"/>
  <c r="AN12" i="47"/>
  <c r="AO12" i="47" s="1"/>
  <c r="AM11" i="47"/>
  <c r="AN11" i="47" s="1"/>
  <c r="AO11" i="47" s="1"/>
  <c r="AM16" i="47"/>
  <c r="AN16" i="47"/>
  <c r="AO16" i="47" s="1"/>
  <c r="AM15" i="47"/>
  <c r="AN15" i="47" s="1"/>
  <c r="AO15" i="47" s="1"/>
  <c r="AM20" i="47"/>
  <c r="AN20" i="47" s="1"/>
  <c r="AO20" i="47" s="1"/>
  <c r="AM19" i="47"/>
  <c r="AN19" i="47" s="1"/>
  <c r="AO19" i="47"/>
  <c r="AM24" i="47"/>
  <c r="AN24" i="47" s="1"/>
  <c r="AO24" i="47" s="1"/>
  <c r="AM23" i="47"/>
  <c r="AN23" i="47"/>
  <c r="AO23" i="47"/>
  <c r="AM28" i="47"/>
  <c r="AN28" i="47" s="1"/>
  <c r="AO28" i="47" s="1"/>
  <c r="AM27" i="47"/>
  <c r="AN27" i="47" s="1"/>
  <c r="AO27" i="47" s="1"/>
  <c r="AM32" i="47"/>
  <c r="AN32" i="47" s="1"/>
  <c r="AO32" i="47" s="1"/>
  <c r="AM31" i="47"/>
  <c r="AN31" i="47" s="1"/>
  <c r="AO31" i="47" s="1"/>
  <c r="AJ36" i="47"/>
  <c r="AM6" i="48"/>
  <c r="AN6" i="48" s="1"/>
  <c r="AO6" i="48" s="1"/>
  <c r="AM5" i="48"/>
  <c r="AN5" i="48"/>
  <c r="AO5" i="48" s="1"/>
  <c r="AM10" i="48"/>
  <c r="AN10" i="48" s="1"/>
  <c r="AO10" i="48"/>
  <c r="AM9" i="48"/>
  <c r="AN9" i="48" s="1"/>
  <c r="AO9" i="48" s="1"/>
  <c r="AM14" i="48"/>
  <c r="AN14" i="48" s="1"/>
  <c r="AO14" i="48"/>
  <c r="AM18" i="48"/>
  <c r="AN18" i="48" s="1"/>
  <c r="AO18" i="48"/>
  <c r="AM17" i="48"/>
  <c r="AN17" i="48"/>
  <c r="AO17" i="48" s="1"/>
  <c r="AM22" i="48"/>
  <c r="AN22" i="48"/>
  <c r="AO22" i="48" s="1"/>
  <c r="AM21" i="48"/>
  <c r="AN21" i="48"/>
  <c r="AO21" i="48" s="1"/>
  <c r="AM26" i="48"/>
  <c r="AN26" i="48" s="1"/>
  <c r="AO26" i="48" s="1"/>
  <c r="AM25" i="48"/>
  <c r="AN25" i="48" s="1"/>
  <c r="AO25" i="48" s="1"/>
  <c r="AM30" i="48"/>
  <c r="AN30" i="48"/>
  <c r="AO30" i="48" s="1"/>
  <c r="AM33" i="48"/>
  <c r="AN33" i="48" s="1"/>
  <c r="AO33" i="48"/>
  <c r="AM4" i="48"/>
  <c r="AN4" i="48" s="1"/>
  <c r="AO4" i="48" s="1"/>
  <c r="AM3" i="48"/>
  <c r="AN3" i="48" s="1"/>
  <c r="AM8" i="48"/>
  <c r="AN8" i="48" s="1"/>
  <c r="AO8" i="48" s="1"/>
  <c r="AM7" i="48"/>
  <c r="AN7" i="48"/>
  <c r="AO7" i="48" s="1"/>
  <c r="AM12" i="48"/>
  <c r="AN12" i="48" s="1"/>
  <c r="AO12" i="48" s="1"/>
  <c r="AM16" i="48"/>
  <c r="AN16" i="48" s="1"/>
  <c r="AO16" i="48"/>
  <c r="AM15" i="48"/>
  <c r="AN15" i="48" s="1"/>
  <c r="AO15" i="48" s="1"/>
  <c r="AM20" i="48"/>
  <c r="AN20" i="48" s="1"/>
  <c r="AO20" i="48" s="1"/>
  <c r="AM19" i="48"/>
  <c r="AN19" i="48"/>
  <c r="AO19" i="48" s="1"/>
  <c r="AM24" i="48"/>
  <c r="AN24" i="48" s="1"/>
  <c r="AO24" i="48" s="1"/>
  <c r="AM23" i="48"/>
  <c r="AN23" i="48" s="1"/>
  <c r="AO23" i="48" s="1"/>
  <c r="AM32" i="48"/>
  <c r="AN32" i="48" s="1"/>
  <c r="AO32" i="48" s="1"/>
  <c r="AM31" i="48"/>
  <c r="AN31" i="48" s="1"/>
  <c r="AO31" i="48" s="1"/>
  <c r="AM6" i="49"/>
  <c r="AN6" i="49"/>
  <c r="AO6" i="49" s="1"/>
  <c r="AM5" i="49"/>
  <c r="AN5" i="49" s="1"/>
  <c r="AO5" i="49" s="1"/>
  <c r="AM10" i="49"/>
  <c r="AN10" i="49"/>
  <c r="AO10" i="49" s="1"/>
  <c r="AM9" i="49"/>
  <c r="AN9" i="49" s="1"/>
  <c r="AO9" i="49" s="1"/>
  <c r="AM14" i="49"/>
  <c r="AN14" i="49"/>
  <c r="AO14" i="49" s="1"/>
  <c r="AM13" i="49"/>
  <c r="AN13" i="49" s="1"/>
  <c r="AO13" i="49" s="1"/>
  <c r="AM18" i="49"/>
  <c r="AN18" i="49"/>
  <c r="AO18" i="49" s="1"/>
  <c r="AM17" i="49"/>
  <c r="AN17" i="49" s="1"/>
  <c r="AO17" i="49" s="1"/>
  <c r="AM22" i="49"/>
  <c r="AN22" i="49" s="1"/>
  <c r="AO22" i="49" s="1"/>
  <c r="AM21" i="49"/>
  <c r="AN21" i="49"/>
  <c r="AO21" i="49" s="1"/>
  <c r="AM26" i="49"/>
  <c r="AN26" i="49" s="1"/>
  <c r="AO26" i="49" s="1"/>
  <c r="AM25" i="49"/>
  <c r="AN25" i="49" s="1"/>
  <c r="AO25" i="49" s="1"/>
  <c r="AM30" i="49"/>
  <c r="AN30" i="49"/>
  <c r="AO30" i="49" s="1"/>
  <c r="AM29" i="49"/>
  <c r="AN29" i="49" s="1"/>
  <c r="AO29" i="49" s="1"/>
  <c r="AM33" i="49"/>
  <c r="AN33" i="49" s="1"/>
  <c r="AO33" i="49"/>
  <c r="AM4" i="49"/>
  <c r="AN4" i="49" s="1"/>
  <c r="AO4" i="49" s="1"/>
  <c r="AM3" i="49"/>
  <c r="AN3" i="49" s="1"/>
  <c r="AM8" i="49"/>
  <c r="AN8" i="49" s="1"/>
  <c r="AO8" i="49"/>
  <c r="AM7" i="49"/>
  <c r="AN7" i="49" s="1"/>
  <c r="AO7" i="49" s="1"/>
  <c r="AM12" i="49"/>
  <c r="AN12" i="49" s="1"/>
  <c r="AO12" i="49"/>
  <c r="AM11" i="49"/>
  <c r="AN11" i="49"/>
  <c r="AO11" i="49" s="1"/>
  <c r="AM16" i="49"/>
  <c r="AN16" i="49" s="1"/>
  <c r="AO16" i="49" s="1"/>
  <c r="AM15" i="49"/>
  <c r="AN15" i="49"/>
  <c r="AO15" i="49" s="1"/>
  <c r="AM20" i="49"/>
  <c r="AN20" i="49" s="1"/>
  <c r="AO20" i="49" s="1"/>
  <c r="AM19" i="49"/>
  <c r="AN19" i="49" s="1"/>
  <c r="AO19" i="49" s="1"/>
  <c r="AM24" i="49"/>
  <c r="AN24" i="49" s="1"/>
  <c r="AO24" i="49" s="1"/>
  <c r="AM23" i="49"/>
  <c r="AN23" i="49" s="1"/>
  <c r="AO23" i="49" s="1"/>
  <c r="AM28" i="49"/>
  <c r="AN28" i="49"/>
  <c r="AO28" i="49" s="1"/>
  <c r="AM27" i="49"/>
  <c r="AN27" i="49" s="1"/>
  <c r="AO27" i="49"/>
  <c r="AM32" i="49"/>
  <c r="AN32" i="49" s="1"/>
  <c r="AO32" i="49" s="1"/>
  <c r="AM31" i="49"/>
  <c r="AN31" i="49" s="1"/>
  <c r="AO31" i="49" s="1"/>
  <c r="AJ36" i="49"/>
  <c r="AM6" i="50"/>
  <c r="AN6" i="50" s="1"/>
  <c r="AO6" i="50" s="1"/>
  <c r="AM10" i="50"/>
  <c r="AN10" i="50"/>
  <c r="AO10" i="50" s="1"/>
  <c r="AM9" i="50"/>
  <c r="AN9" i="50" s="1"/>
  <c r="AO9" i="50" s="1"/>
  <c r="AM14" i="50"/>
  <c r="AN14" i="50" s="1"/>
  <c r="AO14" i="50" s="1"/>
  <c r="AM13" i="50"/>
  <c r="AN13" i="50"/>
  <c r="AO13" i="50" s="1"/>
  <c r="AM18" i="50"/>
  <c r="AN18" i="50"/>
  <c r="AO18" i="50" s="1"/>
  <c r="AM17" i="50"/>
  <c r="AN17" i="50" s="1"/>
  <c r="AO17" i="50" s="1"/>
  <c r="AM22" i="50"/>
  <c r="AN22" i="50"/>
  <c r="AO22" i="50" s="1"/>
  <c r="AM21" i="50"/>
  <c r="AN21" i="50" s="1"/>
  <c r="AO21" i="50" s="1"/>
  <c r="AM26" i="50"/>
  <c r="AN26" i="50" s="1"/>
  <c r="AO26" i="50"/>
  <c r="AM25" i="50"/>
  <c r="AN25" i="50" s="1"/>
  <c r="AO25" i="50"/>
  <c r="AM30" i="50"/>
  <c r="AN30" i="50"/>
  <c r="AO30" i="50" s="1"/>
  <c r="AM29" i="50"/>
  <c r="AN29" i="50"/>
  <c r="AO29" i="50" s="1"/>
  <c r="AM33" i="50"/>
  <c r="AN33" i="50" s="1"/>
  <c r="AO33" i="50"/>
  <c r="AM4" i="50"/>
  <c r="AN4" i="50" s="1"/>
  <c r="AO4" i="50" s="1"/>
  <c r="AM3" i="50"/>
  <c r="AN3" i="50"/>
  <c r="AO3" i="50" s="1"/>
  <c r="AM8" i="50"/>
  <c r="AN8" i="50" s="1"/>
  <c r="AO8" i="50" s="1"/>
  <c r="AM7" i="50"/>
  <c r="AN7" i="50" s="1"/>
  <c r="AO7" i="50"/>
  <c r="AM12" i="50"/>
  <c r="AN12" i="50" s="1"/>
  <c r="AO12" i="50" s="1"/>
  <c r="AM11" i="50"/>
  <c r="AN11" i="50" s="1"/>
  <c r="AO11" i="50"/>
  <c r="AM16" i="50"/>
  <c r="AN16" i="50" s="1"/>
  <c r="AO16" i="50" s="1"/>
  <c r="AM15" i="50"/>
  <c r="AN15" i="50" s="1"/>
  <c r="AO15" i="50" s="1"/>
  <c r="AM20" i="50"/>
  <c r="AN20" i="50" s="1"/>
  <c r="AO20" i="50" s="1"/>
  <c r="AM19" i="50"/>
  <c r="AN19" i="50" s="1"/>
  <c r="AO19" i="50" s="1"/>
  <c r="AM24" i="50"/>
  <c r="AN24" i="50"/>
  <c r="AO24" i="50" s="1"/>
  <c r="AM23" i="50"/>
  <c r="AN23" i="50" s="1"/>
  <c r="AO23" i="50" s="1"/>
  <c r="AM28" i="50"/>
  <c r="AN28" i="50" s="1"/>
  <c r="AO28" i="50" s="1"/>
  <c r="AM27" i="50"/>
  <c r="AN27" i="50"/>
  <c r="AO27" i="50" s="1"/>
  <c r="AM32" i="50"/>
  <c r="AN32" i="50" s="1"/>
  <c r="AO32" i="50" s="1"/>
  <c r="AM31" i="50"/>
  <c r="AN31" i="50" s="1"/>
  <c r="AO31" i="50" s="1"/>
  <c r="AM6" i="51"/>
  <c r="AN6" i="51" s="1"/>
  <c r="AO6" i="51" s="1"/>
  <c r="AM5" i="51"/>
  <c r="AN5" i="51"/>
  <c r="AO5" i="51" s="1"/>
  <c r="AM10" i="51"/>
  <c r="AN10" i="51" s="1"/>
  <c r="AO10" i="51" s="1"/>
  <c r="AM9" i="51"/>
  <c r="AN9" i="51"/>
  <c r="AO9" i="51" s="1"/>
  <c r="AM14" i="51"/>
  <c r="AN14" i="51" s="1"/>
  <c r="AO14" i="51" s="1"/>
  <c r="AM22" i="51"/>
  <c r="AN22" i="51" s="1"/>
  <c r="AO22" i="51" s="1"/>
  <c r="AM21" i="51"/>
  <c r="AN21" i="51" s="1"/>
  <c r="AO21" i="51" s="1"/>
  <c r="AM26" i="51"/>
  <c r="AN26" i="51" s="1"/>
  <c r="AO26" i="51" s="1"/>
  <c r="AM25" i="51"/>
  <c r="AN25" i="51"/>
  <c r="AO25" i="51" s="1"/>
  <c r="AM30" i="51"/>
  <c r="AN30" i="51" s="1"/>
  <c r="AO30" i="51"/>
  <c r="AM29" i="51"/>
  <c r="AN29" i="51" s="1"/>
  <c r="AO29" i="51" s="1"/>
  <c r="AM33" i="51"/>
  <c r="AN33" i="51"/>
  <c r="AO33" i="51" s="1"/>
  <c r="AM4" i="51"/>
  <c r="AN4" i="51" s="1"/>
  <c r="AO4" i="51" s="1"/>
  <c r="AM3" i="51"/>
  <c r="AN3" i="51" s="1"/>
  <c r="AO3" i="51" s="1"/>
  <c r="AM8" i="51"/>
  <c r="AN8" i="51" s="1"/>
  <c r="AO8" i="51"/>
  <c r="AM7" i="51"/>
  <c r="AN7" i="51" s="1"/>
  <c r="AO7" i="51" s="1"/>
  <c r="AM11" i="51"/>
  <c r="AN11" i="51" s="1"/>
  <c r="AO11" i="51" s="1"/>
  <c r="AM16" i="51"/>
  <c r="AN16" i="51"/>
  <c r="AO16" i="51" s="1"/>
  <c r="AM15" i="51"/>
  <c r="AN15" i="51" s="1"/>
  <c r="AO15" i="51" s="1"/>
  <c r="AM20" i="51"/>
  <c r="AN20" i="51"/>
  <c r="AO20" i="51" s="1"/>
  <c r="AM19" i="51"/>
  <c r="AN19" i="51" s="1"/>
  <c r="AO19" i="51" s="1"/>
  <c r="AM24" i="51"/>
  <c r="AN24" i="51" s="1"/>
  <c r="AO24" i="51" s="1"/>
  <c r="AM23" i="51"/>
  <c r="AN23" i="51" s="1"/>
  <c r="AO23" i="51" s="1"/>
  <c r="AM28" i="51"/>
  <c r="AN28" i="51" s="1"/>
  <c r="AO28" i="51" s="1"/>
  <c r="AM27" i="51"/>
  <c r="AN27" i="51"/>
  <c r="AO27" i="51" s="1"/>
  <c r="AM32" i="51"/>
  <c r="AN32" i="51" s="1"/>
  <c r="AO32" i="51" s="1"/>
  <c r="AM31" i="51"/>
  <c r="AN31" i="51" s="1"/>
  <c r="AO31" i="51" s="1"/>
  <c r="AM6" i="52"/>
  <c r="AN6" i="52" s="1"/>
  <c r="AO6" i="52" s="1"/>
  <c r="AM5" i="52"/>
  <c r="AN5" i="52" s="1"/>
  <c r="AO5" i="52" s="1"/>
  <c r="AM9" i="52"/>
  <c r="AN9" i="52"/>
  <c r="AO9" i="52" s="1"/>
  <c r="AM14" i="52"/>
  <c r="AN14" i="52" s="1"/>
  <c r="AO14" i="52" s="1"/>
  <c r="AM13" i="52"/>
  <c r="AN13" i="52" s="1"/>
  <c r="AO13" i="52" s="1"/>
  <c r="AM18" i="52"/>
  <c r="AN18" i="52" s="1"/>
  <c r="AO18" i="52" s="1"/>
  <c r="AM17" i="52"/>
  <c r="AN17" i="52"/>
  <c r="AO17" i="52" s="1"/>
  <c r="AM22" i="52"/>
  <c r="AN22" i="52" s="1"/>
  <c r="AO22" i="52" s="1"/>
  <c r="AM21" i="52"/>
  <c r="AN21" i="52"/>
  <c r="AO21" i="52" s="1"/>
  <c r="AM26" i="52"/>
  <c r="AN26" i="52" s="1"/>
  <c r="AO26" i="52" s="1"/>
  <c r="AM25" i="52"/>
  <c r="AN25" i="52"/>
  <c r="AO25" i="52" s="1"/>
  <c r="AM30" i="52"/>
  <c r="AN30" i="52" s="1"/>
  <c r="AO30" i="52" s="1"/>
  <c r="AM29" i="52"/>
  <c r="AN29" i="52" s="1"/>
  <c r="AO29" i="52" s="1"/>
  <c r="AM33" i="52"/>
  <c r="AN33" i="52" s="1"/>
  <c r="AO33" i="52" s="1"/>
  <c r="AM4" i="52"/>
  <c r="AN4" i="52"/>
  <c r="AO4" i="52" s="1"/>
  <c r="AM12" i="52"/>
  <c r="AM16" i="52"/>
  <c r="AN16" i="52" s="1"/>
  <c r="AO16" i="52" s="1"/>
  <c r="AM20" i="52"/>
  <c r="AN20" i="52" s="1"/>
  <c r="AO20" i="52" s="1"/>
  <c r="AM19" i="52"/>
  <c r="AN19" i="52" s="1"/>
  <c r="AO19" i="52" s="1"/>
  <c r="AM24" i="52"/>
  <c r="AN24" i="52" s="1"/>
  <c r="AO24" i="52" s="1"/>
  <c r="AM28" i="52"/>
  <c r="AN28" i="52" s="1"/>
  <c r="AO28" i="52" s="1"/>
  <c r="AM27" i="52"/>
  <c r="AN27" i="52"/>
  <c r="AO27" i="52" s="1"/>
  <c r="AM32" i="52"/>
  <c r="AN32" i="52" s="1"/>
  <c r="AO32" i="52" s="1"/>
  <c r="AM10" i="53"/>
  <c r="AN10" i="53"/>
  <c r="AO10" i="53" s="1"/>
  <c r="AM9" i="53"/>
  <c r="AN9" i="53" s="1"/>
  <c r="AO9" i="53" s="1"/>
  <c r="AM13" i="53"/>
  <c r="AN13" i="53" s="1"/>
  <c r="AO13" i="53" s="1"/>
  <c r="AM17" i="53"/>
  <c r="AN17" i="53" s="1"/>
  <c r="AO17" i="53" s="1"/>
  <c r="AM21" i="53"/>
  <c r="AN21" i="53" s="1"/>
  <c r="AO21" i="53" s="1"/>
  <c r="AM26" i="53"/>
  <c r="AN26" i="53" s="1"/>
  <c r="AO26" i="53" s="1"/>
  <c r="AM25" i="53"/>
  <c r="AN25" i="53" s="1"/>
  <c r="AO25" i="53" s="1"/>
  <c r="AM29" i="53"/>
  <c r="AN29" i="53" s="1"/>
  <c r="AO29" i="53"/>
  <c r="AM33" i="53"/>
  <c r="AN33" i="53" s="1"/>
  <c r="AO33" i="53" s="1"/>
  <c r="AM8" i="53"/>
  <c r="AN8" i="53" s="1"/>
  <c r="AO8" i="53"/>
  <c r="AM12" i="53"/>
  <c r="AN12" i="53" s="1"/>
  <c r="AO12" i="53" s="1"/>
  <c r="AM11" i="53"/>
  <c r="AN11" i="53"/>
  <c r="AO11" i="53" s="1"/>
  <c r="AM16" i="53"/>
  <c r="AN16" i="53" s="1"/>
  <c r="AO16" i="53" s="1"/>
  <c r="AM15" i="53"/>
  <c r="AN15" i="53"/>
  <c r="AO15" i="53"/>
  <c r="AM20" i="53"/>
  <c r="AN20" i="53" s="1"/>
  <c r="AO20" i="53" s="1"/>
  <c r="AM24" i="53"/>
  <c r="AN24" i="53" s="1"/>
  <c r="AO24" i="53"/>
  <c r="AM28" i="53"/>
  <c r="AN28" i="53" s="1"/>
  <c r="AO28" i="53" s="1"/>
  <c r="AM27" i="53"/>
  <c r="AN27" i="53" s="1"/>
  <c r="AO27" i="53" s="1"/>
  <c r="AM32" i="53"/>
  <c r="AN32" i="53"/>
  <c r="AO32" i="53" s="1"/>
  <c r="AM31" i="53"/>
  <c r="AN31" i="53"/>
  <c r="AO31" i="53"/>
  <c r="AM21" i="54"/>
  <c r="AN21" i="54" s="1"/>
  <c r="AO21" i="54" s="1"/>
  <c r="AM33" i="54"/>
  <c r="AN33" i="54" s="1"/>
  <c r="AO33" i="54" s="1"/>
  <c r="AM7" i="54"/>
  <c r="AN7" i="54" s="1"/>
  <c r="AO7" i="54" s="1"/>
  <c r="AM16" i="54"/>
  <c r="AN16" i="54" s="1"/>
  <c r="AO16" i="54" s="1"/>
  <c r="AM6" i="55"/>
  <c r="AN6" i="55" s="1"/>
  <c r="AO6" i="55" s="1"/>
  <c r="AM10" i="55"/>
  <c r="AN10" i="55" s="1"/>
  <c r="AO10" i="55" s="1"/>
  <c r="AM14" i="55"/>
  <c r="AN14" i="55" s="1"/>
  <c r="AO14" i="55" s="1"/>
  <c r="AM13" i="55"/>
  <c r="AN13" i="55"/>
  <c r="AO13" i="55" s="1"/>
  <c r="AM18" i="55"/>
  <c r="AN18" i="55" s="1"/>
  <c r="AO18" i="55"/>
  <c r="AM17" i="55"/>
  <c r="AN17" i="55" s="1"/>
  <c r="AO17" i="55" s="1"/>
  <c r="AM21" i="55"/>
  <c r="AN21" i="55" s="1"/>
  <c r="AO21" i="55" s="1"/>
  <c r="AM26" i="55"/>
  <c r="AN26" i="55" s="1"/>
  <c r="AO26" i="55"/>
  <c r="AM25" i="55"/>
  <c r="AN25" i="55" s="1"/>
  <c r="AO25" i="55" s="1"/>
  <c r="AM30" i="55"/>
  <c r="AN30" i="55" s="1"/>
  <c r="AO30" i="55" s="1"/>
  <c r="AM29" i="55"/>
  <c r="AN29" i="55"/>
  <c r="AO29" i="55"/>
  <c r="AM3" i="55"/>
  <c r="AN3" i="55" s="1"/>
  <c r="AO3" i="55" s="1"/>
  <c r="AM8" i="55"/>
  <c r="AN8" i="55" s="1"/>
  <c r="AO8" i="55" s="1"/>
  <c r="AM7" i="55"/>
  <c r="AN7" i="55" s="1"/>
  <c r="AO7" i="55" s="1"/>
  <c r="AM12" i="55"/>
  <c r="AN12" i="55"/>
  <c r="AO12" i="55" s="1"/>
  <c r="AM11" i="55"/>
  <c r="AN11" i="55" s="1"/>
  <c r="AO11" i="55"/>
  <c r="AM16" i="55"/>
  <c r="AN16" i="55" s="1"/>
  <c r="AO16" i="55" s="1"/>
  <c r="AM15" i="55"/>
  <c r="AN15" i="55"/>
  <c r="AO15" i="55"/>
  <c r="AM20" i="55"/>
  <c r="AN20" i="55" s="1"/>
  <c r="AO20" i="55"/>
  <c r="AM19" i="55"/>
  <c r="AN19" i="55" s="1"/>
  <c r="AO19" i="55" s="1"/>
  <c r="AM24" i="55"/>
  <c r="AN24" i="55"/>
  <c r="AO24" i="55" s="1"/>
  <c r="AM23" i="55"/>
  <c r="AN23" i="55" s="1"/>
  <c r="AO23" i="55" s="1"/>
  <c r="AM28" i="55"/>
  <c r="AN28" i="55"/>
  <c r="AO28" i="55"/>
  <c r="AM27" i="55"/>
  <c r="AN27" i="55" s="1"/>
  <c r="AO27" i="55" s="1"/>
  <c r="AM32" i="55"/>
  <c r="AN32" i="55"/>
  <c r="AO32" i="55" s="1"/>
  <c r="AM18" i="56"/>
  <c r="AN18" i="56" s="1"/>
  <c r="AO18" i="56" s="1"/>
  <c r="AM29" i="56"/>
  <c r="AN29" i="56" s="1"/>
  <c r="AO29" i="56" s="1"/>
  <c r="AM28" i="56"/>
  <c r="AN28" i="56" s="1"/>
  <c r="AO28" i="56" s="1"/>
  <c r="AM6" i="57"/>
  <c r="AN6" i="57"/>
  <c r="AO6" i="57" s="1"/>
  <c r="AM5" i="57"/>
  <c r="AN5" i="57" s="1"/>
  <c r="AM14" i="57"/>
  <c r="AN14" i="57" s="1"/>
  <c r="AO14" i="57" s="1"/>
  <c r="AM13" i="57"/>
  <c r="AN13" i="57" s="1"/>
  <c r="AO13" i="57"/>
  <c r="AM17" i="57"/>
  <c r="AN17" i="57" s="1"/>
  <c r="AO17" i="57" s="1"/>
  <c r="AM22" i="57"/>
  <c r="AN22" i="57" s="1"/>
  <c r="AO22" i="57" s="1"/>
  <c r="AM25" i="57"/>
  <c r="AN25" i="57" s="1"/>
  <c r="AO25" i="57"/>
  <c r="AM33" i="57"/>
  <c r="AN33" i="57"/>
  <c r="AO33" i="57" s="1"/>
  <c r="AM4" i="57"/>
  <c r="AN4" i="57" s="1"/>
  <c r="AM3" i="57"/>
  <c r="AN3" i="57"/>
  <c r="AO3" i="57" s="1"/>
  <c r="AM8" i="57"/>
  <c r="AN8" i="57" s="1"/>
  <c r="AO8" i="57" s="1"/>
  <c r="AM7" i="57"/>
  <c r="AN7" i="57" s="1"/>
  <c r="AO7" i="57" s="1"/>
  <c r="AM12" i="57"/>
  <c r="AN12" i="57" s="1"/>
  <c r="AO12" i="57" s="1"/>
  <c r="AM16" i="57"/>
  <c r="AN16" i="57" s="1"/>
  <c r="AO16" i="57" s="1"/>
  <c r="AM15" i="57"/>
  <c r="AM24" i="57"/>
  <c r="AN24" i="57" s="1"/>
  <c r="AO24" i="57" s="1"/>
  <c r="AM23" i="57"/>
  <c r="AN23" i="57" s="1"/>
  <c r="AO23" i="57" s="1"/>
  <c r="AM32" i="57"/>
  <c r="AN32" i="57" s="1"/>
  <c r="AO32" i="57"/>
  <c r="AM6" i="58"/>
  <c r="AN6" i="58" s="1"/>
  <c r="AO6" i="58" s="1"/>
  <c r="AM5" i="58"/>
  <c r="AN5" i="58" s="1"/>
  <c r="AO5" i="58"/>
  <c r="AM10" i="58"/>
  <c r="AN10" i="58" s="1"/>
  <c r="AO10" i="58" s="1"/>
  <c r="AM9" i="58"/>
  <c r="AN9" i="58" s="1"/>
  <c r="AO9" i="58" s="1"/>
  <c r="AM14" i="58"/>
  <c r="AN14" i="58"/>
  <c r="AO14" i="58" s="1"/>
  <c r="AM13" i="58"/>
  <c r="AN13" i="58" s="1"/>
  <c r="AO13" i="58" s="1"/>
  <c r="AM18" i="58"/>
  <c r="AN18" i="58"/>
  <c r="AO18" i="58" s="1"/>
  <c r="AM17" i="58"/>
  <c r="AN17" i="58" s="1"/>
  <c r="AO17" i="58" s="1"/>
  <c r="AM22" i="58"/>
  <c r="AN22" i="58" s="1"/>
  <c r="AO22" i="58" s="1"/>
  <c r="AM21" i="58"/>
  <c r="AN21" i="58"/>
  <c r="AO21" i="58" s="1"/>
  <c r="AM26" i="58"/>
  <c r="AN26" i="58" s="1"/>
  <c r="AO26" i="58" s="1"/>
  <c r="AM25" i="58"/>
  <c r="AN25" i="58" s="1"/>
  <c r="AO25" i="58" s="1"/>
  <c r="AM30" i="58"/>
  <c r="AN30" i="58" s="1"/>
  <c r="AO30" i="58" s="1"/>
  <c r="AM29" i="58"/>
  <c r="AN29" i="58" s="1"/>
  <c r="AO29" i="58" s="1"/>
  <c r="AM33" i="58"/>
  <c r="AN33" i="58"/>
  <c r="AO33" i="58" s="1"/>
  <c r="AM4" i="58"/>
  <c r="AN4" i="58" s="1"/>
  <c r="AO4" i="58"/>
  <c r="AM3" i="58"/>
  <c r="AN3" i="58" s="1"/>
  <c r="AM8" i="58"/>
  <c r="AN8" i="58" s="1"/>
  <c r="AO8" i="58" s="1"/>
  <c r="AM7" i="58"/>
  <c r="AN7" i="58" s="1"/>
  <c r="AO7" i="58"/>
  <c r="AM12" i="58"/>
  <c r="AN12" i="58"/>
  <c r="AO12" i="58" s="1"/>
  <c r="AM11" i="58"/>
  <c r="AN11" i="58"/>
  <c r="AO11" i="58" s="1"/>
  <c r="AM16" i="58"/>
  <c r="AN16" i="58" s="1"/>
  <c r="AO16" i="58"/>
  <c r="AM15" i="58"/>
  <c r="AN15" i="58" s="1"/>
  <c r="AO15" i="58" s="1"/>
  <c r="AM20" i="58"/>
  <c r="AN20" i="58"/>
  <c r="AO20" i="58" s="1"/>
  <c r="AM19" i="58"/>
  <c r="AN19" i="58" s="1"/>
  <c r="AO19" i="58" s="1"/>
  <c r="AM24" i="58"/>
  <c r="AN24" i="58"/>
  <c r="AO24" i="58"/>
  <c r="AM23" i="58"/>
  <c r="AN23" i="58" s="1"/>
  <c r="AO23" i="58" s="1"/>
  <c r="AM28" i="58"/>
  <c r="AN28" i="58"/>
  <c r="AO28" i="58" s="1"/>
  <c r="AM27" i="58"/>
  <c r="AN27" i="58" s="1"/>
  <c r="AO27" i="58" s="1"/>
  <c r="AM32" i="58"/>
  <c r="AN32" i="58"/>
  <c r="AO32" i="58" s="1"/>
  <c r="AM31" i="58"/>
  <c r="AN31" i="58" s="1"/>
  <c r="AO31" i="58" s="1"/>
  <c r="AJ36" i="58"/>
  <c r="AM5" i="59"/>
  <c r="AN5" i="59" s="1"/>
  <c r="AO5" i="59" s="1"/>
  <c r="AM10" i="59"/>
  <c r="AN10" i="59" s="1"/>
  <c r="AO10" i="59" s="1"/>
  <c r="AM9" i="59"/>
  <c r="AM13" i="59"/>
  <c r="AN13" i="59" s="1"/>
  <c r="AO13" i="59" s="1"/>
  <c r="AM26" i="59"/>
  <c r="AN26" i="59" s="1"/>
  <c r="AO26" i="59"/>
  <c r="AM25" i="59"/>
  <c r="AN25" i="59" s="1"/>
  <c r="AO25" i="59" s="1"/>
  <c r="AM33" i="59"/>
  <c r="AN33" i="59" s="1"/>
  <c r="AO33" i="59" s="1"/>
  <c r="AM4" i="59"/>
  <c r="AN4" i="59"/>
  <c r="AO4" i="59" s="1"/>
  <c r="AM3" i="59"/>
  <c r="AM8" i="59"/>
  <c r="AN8" i="59"/>
  <c r="AO8" i="59" s="1"/>
  <c r="AM7" i="59"/>
  <c r="AM12" i="59"/>
  <c r="AN12" i="59" s="1"/>
  <c r="AO12" i="59" s="1"/>
  <c r="AM11" i="59"/>
  <c r="AN11" i="59"/>
  <c r="AO11" i="59"/>
  <c r="AM16" i="59"/>
  <c r="AN16" i="59" s="1"/>
  <c r="AO16" i="59" s="1"/>
  <c r="AM19" i="59"/>
  <c r="AN19" i="59" s="1"/>
  <c r="AO19" i="59" s="1"/>
  <c r="AM24" i="59"/>
  <c r="AN24" i="59"/>
  <c r="AO24" i="59" s="1"/>
  <c r="AM28" i="59"/>
  <c r="AN28" i="59" s="1"/>
  <c r="AO28" i="59" s="1"/>
  <c r="AM27" i="59"/>
  <c r="AN27" i="59" s="1"/>
  <c r="AO27" i="59"/>
  <c r="AM32" i="59"/>
  <c r="AN32" i="59"/>
  <c r="AO32" i="59" s="1"/>
  <c r="AM31" i="59"/>
  <c r="AN31" i="59" s="1"/>
  <c r="AO31" i="59" s="1"/>
  <c r="AM6" i="60"/>
  <c r="AN6" i="60" s="1"/>
  <c r="AO6" i="60" s="1"/>
  <c r="AM5" i="60"/>
  <c r="AN5" i="60" s="1"/>
  <c r="AO5" i="60" s="1"/>
  <c r="AM10" i="60"/>
  <c r="AN10" i="60" s="1"/>
  <c r="AO10" i="60" s="1"/>
  <c r="AM9" i="60"/>
  <c r="AN9" i="60"/>
  <c r="AO9" i="60" s="1"/>
  <c r="AM14" i="60"/>
  <c r="AN14" i="60" s="1"/>
  <c r="AO14" i="60"/>
  <c r="AM13" i="60"/>
  <c r="AN13" i="60" s="1"/>
  <c r="AO13" i="60" s="1"/>
  <c r="AM18" i="60"/>
  <c r="AN18" i="60"/>
  <c r="AO18" i="60"/>
  <c r="AM17" i="60"/>
  <c r="AN17" i="60" s="1"/>
  <c r="AO17" i="60"/>
  <c r="AM22" i="60"/>
  <c r="AN22" i="60" s="1"/>
  <c r="AO22" i="60"/>
  <c r="AM21" i="60"/>
  <c r="AN21" i="60"/>
  <c r="AO21" i="60" s="1"/>
  <c r="AM26" i="60"/>
  <c r="AN26" i="60"/>
  <c r="AO26" i="60" s="1"/>
  <c r="AM25" i="60"/>
  <c r="AN25" i="60"/>
  <c r="AO25" i="60"/>
  <c r="AM30" i="60"/>
  <c r="AN30" i="60" s="1"/>
  <c r="AO30" i="60" s="1"/>
  <c r="AM29" i="60"/>
  <c r="AN29" i="60"/>
  <c r="AO29" i="60" s="1"/>
  <c r="AM33" i="60"/>
  <c r="AN33" i="60" s="1"/>
  <c r="AO33" i="60"/>
  <c r="AM4" i="60"/>
  <c r="AN4" i="60"/>
  <c r="AO4" i="60" s="1"/>
  <c r="AM3" i="60"/>
  <c r="AN3" i="60" s="1"/>
  <c r="AO3" i="60" s="1"/>
  <c r="AM8" i="60"/>
  <c r="AN8" i="60" s="1"/>
  <c r="AO8" i="60" s="1"/>
  <c r="AM7" i="60"/>
  <c r="AM11" i="60"/>
  <c r="AN11" i="60" s="1"/>
  <c r="AO11" i="60" s="1"/>
  <c r="AM16" i="60"/>
  <c r="AN16" i="60"/>
  <c r="AO16" i="60"/>
  <c r="AM15" i="60"/>
  <c r="AN15" i="60" s="1"/>
  <c r="AO15" i="60" s="1"/>
  <c r="AM20" i="60"/>
  <c r="AN20" i="60" s="1"/>
  <c r="AO20" i="60" s="1"/>
  <c r="AM19" i="60"/>
  <c r="AN19" i="60" s="1"/>
  <c r="AO19" i="60" s="1"/>
  <c r="AM24" i="60"/>
  <c r="AN24" i="60" s="1"/>
  <c r="AO24" i="60" s="1"/>
  <c r="AM23" i="60"/>
  <c r="AN23" i="60"/>
  <c r="AO23" i="60" s="1"/>
  <c r="AM28" i="60"/>
  <c r="AN28" i="60" s="1"/>
  <c r="AO28" i="60"/>
  <c r="AM27" i="60"/>
  <c r="AN27" i="60" s="1"/>
  <c r="AO27" i="60" s="1"/>
  <c r="AM32" i="60"/>
  <c r="AN32" i="60" s="1"/>
  <c r="AO32" i="60"/>
  <c r="AM31" i="60"/>
  <c r="AN31" i="60" s="1"/>
  <c r="AO31" i="60" s="1"/>
  <c r="AO3" i="32"/>
  <c r="AO3" i="34"/>
  <c r="AO3" i="40"/>
  <c r="Y29" i="58"/>
  <c r="Y13" i="58"/>
  <c r="Y21" i="50"/>
  <c r="T23" i="60"/>
  <c r="AA23" i="60" s="1"/>
  <c r="T12" i="60"/>
  <c r="T32" i="60"/>
  <c r="AA32" i="60" s="1"/>
  <c r="Y32" i="60"/>
  <c r="Z10" i="55"/>
  <c r="Y8" i="51"/>
  <c r="Y8" i="50"/>
  <c r="T16" i="47"/>
  <c r="T8" i="45"/>
  <c r="AA8" i="45" s="1"/>
  <c r="R33" i="60"/>
  <c r="R4" i="58"/>
  <c r="Y4" i="58" s="1"/>
  <c r="R20" i="58"/>
  <c r="Y20" i="58" s="1"/>
  <c r="R4" i="57"/>
  <c r="T4" i="57" s="1"/>
  <c r="R20" i="57"/>
  <c r="T20" i="57" s="1"/>
  <c r="AA20" i="57" s="1"/>
  <c r="R4" i="56"/>
  <c r="R12" i="56"/>
  <c r="Y12" i="56" s="1"/>
  <c r="T24" i="56"/>
  <c r="AA24" i="56" s="1"/>
  <c r="Z24" i="56"/>
  <c r="R18" i="55"/>
  <c r="Y18" i="55" s="1"/>
  <c r="Y32" i="55"/>
  <c r="Y16" i="53"/>
  <c r="T16" i="52"/>
  <c r="AA16" i="52" s="1"/>
  <c r="Y16" i="51"/>
  <c r="T16" i="45"/>
  <c r="AA16" i="45" s="1"/>
  <c r="E42" i="21"/>
  <c r="M44" i="21"/>
  <c r="I66" i="27" s="1"/>
  <c r="Z24" i="55"/>
  <c r="Z32" i="54"/>
  <c r="Z8" i="52"/>
  <c r="Z24" i="50"/>
  <c r="Z16" i="48"/>
  <c r="Y28" i="47"/>
  <c r="Z16" i="46"/>
  <c r="R4" i="44"/>
  <c r="T4" i="44" s="1"/>
  <c r="AA4" i="44" s="1"/>
  <c r="R30" i="44"/>
  <c r="Y30" i="44" s="1"/>
  <c r="R4" i="43"/>
  <c r="Y4" i="43" s="1"/>
  <c r="R22" i="43"/>
  <c r="R28" i="43"/>
  <c r="Y28" i="43" s="1"/>
  <c r="R30" i="43"/>
  <c r="Y30" i="43" s="1"/>
  <c r="R14" i="42"/>
  <c r="Y14" i="42" s="1"/>
  <c r="R10" i="54"/>
  <c r="T10" i="54" s="1"/>
  <c r="R26" i="54"/>
  <c r="T26" i="54" s="1"/>
  <c r="AA26" i="54" s="1"/>
  <c r="R10" i="53"/>
  <c r="R18" i="53"/>
  <c r="R26" i="53"/>
  <c r="T26" i="53" s="1"/>
  <c r="R26" i="52"/>
  <c r="Y26" i="52" s="1"/>
  <c r="R18" i="51"/>
  <c r="T18" i="51" s="1"/>
  <c r="AA18" i="51" s="1"/>
  <c r="R26" i="51"/>
  <c r="T26" i="51" s="1"/>
  <c r="R26" i="49"/>
  <c r="T26" i="49" s="1"/>
  <c r="AA26" i="49" s="1"/>
  <c r="R26" i="47"/>
  <c r="Y26" i="47" s="1"/>
  <c r="R18" i="45"/>
  <c r="Y24" i="33"/>
  <c r="T24" i="33"/>
  <c r="AA24" i="33" s="1"/>
  <c r="Y24" i="31"/>
  <c r="T24" i="31"/>
  <c r="AA24" i="31" s="1"/>
  <c r="Z24" i="41"/>
  <c r="R6" i="40"/>
  <c r="Y6" i="40" s="1"/>
  <c r="R14" i="40"/>
  <c r="T14" i="40" s="1"/>
  <c r="AA14" i="40" s="1"/>
  <c r="R22" i="40"/>
  <c r="R28" i="40"/>
  <c r="Y28" i="40" s="1"/>
  <c r="R12" i="39"/>
  <c r="T12" i="39" s="1"/>
  <c r="AA12" i="39" s="1"/>
  <c r="R20" i="39"/>
  <c r="Y20" i="39" s="1"/>
  <c r="R22" i="39"/>
  <c r="T22" i="39" s="1"/>
  <c r="R6" i="38"/>
  <c r="T6" i="38" s="1"/>
  <c r="AA6" i="38" s="1"/>
  <c r="R30" i="38"/>
  <c r="T30" i="38" s="1"/>
  <c r="R6" i="37"/>
  <c r="R12" i="37"/>
  <c r="Y12" i="37" s="1"/>
  <c r="T26" i="37"/>
  <c r="R4" i="36"/>
  <c r="R12" i="36"/>
  <c r="T12" i="36" s="1"/>
  <c r="R6" i="35"/>
  <c r="T6" i="35" s="1"/>
  <c r="T32" i="33"/>
  <c r="Y16" i="30"/>
  <c r="Z32" i="35"/>
  <c r="Z24" i="33"/>
  <c r="Z24" i="31"/>
  <c r="Z16" i="30"/>
  <c r="R18" i="34"/>
  <c r="T18" i="34" s="1"/>
  <c r="AA18" i="34" s="1"/>
  <c r="R26" i="34"/>
  <c r="Y26" i="34" s="1"/>
  <c r="R26" i="33"/>
  <c r="R18" i="31"/>
  <c r="R26" i="31"/>
  <c r="Y6" i="35"/>
  <c r="Y22" i="39"/>
  <c r="Y26" i="51"/>
  <c r="Q23" i="29"/>
  <c r="Y30" i="38"/>
  <c r="T28" i="40"/>
  <c r="AA28" i="40" s="1"/>
  <c r="F11" i="26"/>
  <c r="A95" i="26" s="1"/>
  <c r="B95" i="27"/>
  <c r="AE35" i="23"/>
  <c r="AE35" i="24" s="1"/>
  <c r="Z3" i="59"/>
  <c r="R3" i="59"/>
  <c r="T3" i="59" s="1"/>
  <c r="AA3" i="59" s="1"/>
  <c r="W26" i="58"/>
  <c r="Z10" i="57"/>
  <c r="R10" i="57"/>
  <c r="Y10" i="57" s="1"/>
  <c r="Z18" i="57"/>
  <c r="R18" i="57"/>
  <c r="T18" i="57" s="1"/>
  <c r="Z26" i="57"/>
  <c r="R26" i="57"/>
  <c r="T26" i="57" s="1"/>
  <c r="AA26" i="57" s="1"/>
  <c r="R22" i="55"/>
  <c r="Z22" i="54"/>
  <c r="R22" i="54"/>
  <c r="Y22" i="54" s="1"/>
  <c r="Z22" i="52"/>
  <c r="Z22" i="50"/>
  <c r="R6" i="47"/>
  <c r="Y6" i="47" s="1"/>
  <c r="T11" i="57"/>
  <c r="AA11" i="57" s="1"/>
  <c r="T11" i="53"/>
  <c r="AA11" i="53" s="1"/>
  <c r="A95" i="27"/>
  <c r="AF44" i="21"/>
  <c r="L45" i="58"/>
  <c r="C11" i="23"/>
  <c r="AK50" i="22"/>
  <c r="AE30" i="23"/>
  <c r="AE30" i="24" s="1"/>
  <c r="AE38" i="23"/>
  <c r="AE38" i="24" s="1"/>
  <c r="AM38" i="24"/>
  <c r="R5" i="60"/>
  <c r="T5" i="60" s="1"/>
  <c r="AA5" i="60" s="1"/>
  <c r="Z5" i="60"/>
  <c r="W3" i="59"/>
  <c r="V36" i="59"/>
  <c r="W10" i="58"/>
  <c r="R10" i="56"/>
  <c r="R30" i="56"/>
  <c r="Y30" i="56" s="1"/>
  <c r="Z32" i="56"/>
  <c r="Z8" i="55"/>
  <c r="R6" i="53"/>
  <c r="Y6" i="53" s="1"/>
  <c r="R6" i="51"/>
  <c r="Y6" i="51" s="1"/>
  <c r="Z22" i="51"/>
  <c r="R6" i="49"/>
  <c r="Y6" i="49" s="1"/>
  <c r="R22" i="48"/>
  <c r="Y22" i="48" s="1"/>
  <c r="Z32" i="59"/>
  <c r="V36" i="58"/>
  <c r="L45" i="57"/>
  <c r="R20" i="56"/>
  <c r="Y20" i="56" s="1"/>
  <c r="Y24" i="55"/>
  <c r="Z30" i="54"/>
  <c r="R12" i="51"/>
  <c r="Y12" i="51" s="1"/>
  <c r="R12" i="49"/>
  <c r="T12" i="49" s="1"/>
  <c r="S36" i="47"/>
  <c r="W10" i="38"/>
  <c r="W26" i="38"/>
  <c r="W10" i="37"/>
  <c r="Y26" i="37"/>
  <c r="W10" i="36"/>
  <c r="W26" i="36"/>
  <c r="O35" i="29"/>
  <c r="Q35" i="29" s="1"/>
  <c r="O32" i="29"/>
  <c r="V32" i="29" s="1"/>
  <c r="O24" i="29"/>
  <c r="Q24" i="29" s="1"/>
  <c r="O12" i="29"/>
  <c r="V12" i="29" s="1"/>
  <c r="O7" i="29"/>
  <c r="Q7" i="29" s="1"/>
  <c r="W7" i="29"/>
  <c r="W30" i="47"/>
  <c r="R6" i="46"/>
  <c r="Y6" i="46" s="1"/>
  <c r="W30" i="46"/>
  <c r="R6" i="45"/>
  <c r="Y6" i="45" s="1"/>
  <c r="W14" i="45"/>
  <c r="W30" i="45"/>
  <c r="W10" i="44"/>
  <c r="W26" i="44"/>
  <c r="W10" i="43"/>
  <c r="W26" i="43"/>
  <c r="W10" i="42"/>
  <c r="W18" i="42"/>
  <c r="W14" i="41"/>
  <c r="W30" i="41"/>
  <c r="W18" i="40"/>
  <c r="W26" i="40"/>
  <c r="W10" i="39"/>
  <c r="W18" i="39"/>
  <c r="W26" i="39"/>
  <c r="V36" i="38"/>
  <c r="V36" i="37"/>
  <c r="L45" i="35"/>
  <c r="L45" i="34"/>
  <c r="Z6" i="33"/>
  <c r="L45" i="33"/>
  <c r="L45" i="32"/>
  <c r="Z22" i="31"/>
  <c r="L45" i="31"/>
  <c r="V36" i="30"/>
  <c r="R12" i="30"/>
  <c r="T12" i="30" s="1"/>
  <c r="AA12" i="30" s="1"/>
  <c r="R18" i="30"/>
  <c r="Y18" i="30" s="1"/>
  <c r="W26" i="29"/>
  <c r="F45" i="29"/>
  <c r="W18" i="38"/>
  <c r="W18" i="37"/>
  <c r="W18" i="36"/>
  <c r="R14" i="35"/>
  <c r="Y14" i="35" s="1"/>
  <c r="Z14" i="33"/>
  <c r="R14" i="33"/>
  <c r="Y14" i="33" s="1"/>
  <c r="R14" i="32"/>
  <c r="T14" i="32" s="1"/>
  <c r="Z30" i="32"/>
  <c r="R30" i="32"/>
  <c r="Y30" i="32" s="1"/>
  <c r="R14" i="31"/>
  <c r="T14" i="31" s="1"/>
  <c r="AA14" i="31" s="1"/>
  <c r="Z30" i="31"/>
  <c r="R30" i="31"/>
  <c r="O8" i="29"/>
  <c r="W8" i="29"/>
  <c r="W23" i="29"/>
  <c r="T20" i="56"/>
  <c r="AA20" i="56" s="1"/>
  <c r="W36" i="59"/>
  <c r="T30" i="32"/>
  <c r="AA30" i="32" s="1"/>
  <c r="V24" i="29"/>
  <c r="AF51" i="22"/>
  <c r="AF52" i="22" s="1"/>
  <c r="AF53" i="22" s="1"/>
  <c r="AJ33" i="62"/>
  <c r="AM32" i="62"/>
  <c r="AN32" i="62"/>
  <c r="AO32" i="62" s="1"/>
  <c r="AM33" i="62"/>
  <c r="AN33" i="62" s="1"/>
  <c r="AO33" i="62" s="1"/>
  <c r="V36" i="62"/>
  <c r="M44" i="62"/>
  <c r="AM3" i="62"/>
  <c r="AN3" i="62"/>
  <c r="R4" i="62"/>
  <c r="T4" i="62" s="1"/>
  <c r="AA4" i="62" s="1"/>
  <c r="AM4" i="62"/>
  <c r="AN4" i="62" s="1"/>
  <c r="AO4" i="62"/>
  <c r="R5" i="62"/>
  <c r="T5" i="62" s="1"/>
  <c r="AM5" i="62"/>
  <c r="AN5" i="62" s="1"/>
  <c r="AO5" i="62" s="1"/>
  <c r="R6" i="62"/>
  <c r="T6" i="62" s="1"/>
  <c r="AA6" i="62" s="1"/>
  <c r="AM6" i="62"/>
  <c r="AN6" i="62" s="1"/>
  <c r="AO6" i="62"/>
  <c r="R7" i="62"/>
  <c r="T7" i="62" s="1"/>
  <c r="AA7" i="62" s="1"/>
  <c r="AM7" i="62"/>
  <c r="AN7" i="62" s="1"/>
  <c r="AO7" i="62" s="1"/>
  <c r="R8" i="62"/>
  <c r="T8" i="62" s="1"/>
  <c r="AM8" i="62"/>
  <c r="AN8" i="62" s="1"/>
  <c r="AO8" i="62" s="1"/>
  <c r="R9" i="62"/>
  <c r="T9" i="62" s="1"/>
  <c r="AA9" i="62" s="1"/>
  <c r="AM9" i="62"/>
  <c r="AN9" i="62" s="1"/>
  <c r="AO9" i="62"/>
  <c r="R10" i="62"/>
  <c r="T10" i="62" s="1"/>
  <c r="AA10" i="62" s="1"/>
  <c r="AM10" i="62"/>
  <c r="AN10" i="62" s="1"/>
  <c r="AO10" i="62" s="1"/>
  <c r="R11" i="62"/>
  <c r="T11" i="62" s="1"/>
  <c r="AA11" i="62" s="1"/>
  <c r="AM11" i="62"/>
  <c r="AN11" i="62" s="1"/>
  <c r="AO11" i="62" s="1"/>
  <c r="R12" i="62"/>
  <c r="T12" i="62" s="1"/>
  <c r="AA12" i="62" s="1"/>
  <c r="AM12" i="62"/>
  <c r="AN12" i="62" s="1"/>
  <c r="AO12" i="62"/>
  <c r="R13" i="62"/>
  <c r="T13" i="62" s="1"/>
  <c r="AA13" i="62" s="1"/>
  <c r="AM13" i="62"/>
  <c r="AN13" i="62" s="1"/>
  <c r="AO13" i="62" s="1"/>
  <c r="R14" i="62"/>
  <c r="T14" i="62" s="1"/>
  <c r="AA14" i="62" s="1"/>
  <c r="R15" i="62"/>
  <c r="T15" i="62" s="1"/>
  <c r="AA15" i="62" s="1"/>
  <c r="R16" i="62"/>
  <c r="T16" i="62" s="1"/>
  <c r="AM16" i="62"/>
  <c r="AN16" i="62" s="1"/>
  <c r="AO16" i="62"/>
  <c r="AM17" i="62"/>
  <c r="AN17" i="62" s="1"/>
  <c r="AO17" i="62"/>
  <c r="R18" i="62"/>
  <c r="T18" i="62" s="1"/>
  <c r="AA18" i="62" s="1"/>
  <c r="AM18" i="62"/>
  <c r="AN18" i="62" s="1"/>
  <c r="AO18" i="62" s="1"/>
  <c r="R19" i="62"/>
  <c r="T19" i="62" s="1"/>
  <c r="AA19" i="62" s="1"/>
  <c r="AM19" i="62"/>
  <c r="AN19" i="62" s="1"/>
  <c r="AO19" i="62" s="1"/>
  <c r="R20" i="62"/>
  <c r="T20" i="62" s="1"/>
  <c r="AA20" i="62" s="1"/>
  <c r="AM20" i="62"/>
  <c r="AN20" i="62" s="1"/>
  <c r="AO20" i="62"/>
  <c r="R21" i="62"/>
  <c r="T21" i="62" s="1"/>
  <c r="AA21" i="62" s="1"/>
  <c r="AM21" i="62"/>
  <c r="AN21" i="62" s="1"/>
  <c r="AO21" i="62" s="1"/>
  <c r="R22" i="62"/>
  <c r="T22" i="62" s="1"/>
  <c r="AA22" i="62" s="1"/>
  <c r="R23" i="62"/>
  <c r="T23" i="62" s="1"/>
  <c r="AA23" i="62" s="1"/>
  <c r="R24" i="62"/>
  <c r="T24" i="62" s="1"/>
  <c r="AM24" i="62"/>
  <c r="AN24" i="62" s="1"/>
  <c r="AO24" i="62" s="1"/>
  <c r="R25" i="62"/>
  <c r="T25" i="62" s="1"/>
  <c r="AA25" i="62" s="1"/>
  <c r="AM25" i="62"/>
  <c r="AN25" i="62" s="1"/>
  <c r="AO25" i="62"/>
  <c r="R26" i="62"/>
  <c r="T26" i="62" s="1"/>
  <c r="AA26" i="62" s="1"/>
  <c r="AM26" i="62"/>
  <c r="AN26" i="62" s="1"/>
  <c r="AO26" i="62" s="1"/>
  <c r="AM27" i="62"/>
  <c r="AN27" i="62" s="1"/>
  <c r="AO27" i="62" s="1"/>
  <c r="AM28" i="62"/>
  <c r="AN28" i="62"/>
  <c r="AO28" i="62" s="1"/>
  <c r="AM29" i="62"/>
  <c r="AN29" i="62"/>
  <c r="AO29" i="62"/>
  <c r="R31" i="62"/>
  <c r="T31" i="62" s="1"/>
  <c r="AA31" i="62" s="1"/>
  <c r="AM31" i="62"/>
  <c r="AN31" i="62" s="1"/>
  <c r="AO31" i="62" s="1"/>
  <c r="R32" i="62"/>
  <c r="T32" i="62" s="1"/>
  <c r="L44" i="62"/>
  <c r="AJ4" i="61"/>
  <c r="AM3" i="61"/>
  <c r="AN3" i="61" s="1"/>
  <c r="AJ5" i="61"/>
  <c r="AM4" i="61"/>
  <c r="AN4" i="61" s="1"/>
  <c r="AO4" i="61" s="1"/>
  <c r="AJ6" i="61"/>
  <c r="AM5" i="61"/>
  <c r="AN5" i="61"/>
  <c r="AO5" i="61" s="1"/>
  <c r="AJ7" i="61"/>
  <c r="AM6" i="61"/>
  <c r="AN6" i="61"/>
  <c r="AO6" i="61" s="1"/>
  <c r="AJ8" i="61"/>
  <c r="AM7" i="61"/>
  <c r="AN7" i="61"/>
  <c r="AO7" i="61" s="1"/>
  <c r="AJ9" i="61"/>
  <c r="AM8" i="61"/>
  <c r="AN8" i="61" s="1"/>
  <c r="AO8" i="61" s="1"/>
  <c r="AJ10" i="61"/>
  <c r="AM9" i="61"/>
  <c r="AN9" i="61"/>
  <c r="AO9" i="61" s="1"/>
  <c r="AJ11" i="61"/>
  <c r="AM10" i="61"/>
  <c r="AN10" i="61"/>
  <c r="AO10" i="61" s="1"/>
  <c r="AJ12" i="61"/>
  <c r="AM11" i="61"/>
  <c r="AN11" i="61"/>
  <c r="AO11" i="61" s="1"/>
  <c r="AJ13" i="61"/>
  <c r="AM12" i="61"/>
  <c r="AN12" i="61" s="1"/>
  <c r="AO12" i="61" s="1"/>
  <c r="AJ14" i="61"/>
  <c r="AM13" i="61"/>
  <c r="AN13" i="61"/>
  <c r="AO13" i="61" s="1"/>
  <c r="AJ15" i="61"/>
  <c r="AM14" i="61"/>
  <c r="AN14" i="61"/>
  <c r="AO14" i="61" s="1"/>
  <c r="AJ16" i="61"/>
  <c r="AM15" i="61"/>
  <c r="AN15" i="61" s="1"/>
  <c r="AO15" i="61" s="1"/>
  <c r="AJ17" i="61"/>
  <c r="AM16" i="61"/>
  <c r="AN16" i="61" s="1"/>
  <c r="AO16" i="61" s="1"/>
  <c r="AJ18" i="61"/>
  <c r="AM17" i="61"/>
  <c r="AN17" i="61"/>
  <c r="AO17" i="61" s="1"/>
  <c r="AJ19" i="61"/>
  <c r="AM18" i="61"/>
  <c r="AN18" i="61" s="1"/>
  <c r="AO18" i="61" s="1"/>
  <c r="AJ20" i="61"/>
  <c r="AM19" i="61"/>
  <c r="AN19" i="61"/>
  <c r="AO19" i="61" s="1"/>
  <c r="AJ21" i="61"/>
  <c r="AM20" i="61"/>
  <c r="AN20" i="61" s="1"/>
  <c r="AO20" i="61" s="1"/>
  <c r="AJ22" i="61"/>
  <c r="AM21" i="61"/>
  <c r="AN21" i="61" s="1"/>
  <c r="AO21" i="61" s="1"/>
  <c r="AJ23" i="61"/>
  <c r="AM22" i="61"/>
  <c r="AN22" i="61"/>
  <c r="AO22" i="61" s="1"/>
  <c r="AJ24" i="61"/>
  <c r="AM23" i="61"/>
  <c r="AN23" i="61"/>
  <c r="AO23" i="61" s="1"/>
  <c r="AJ25" i="61"/>
  <c r="AM24" i="61"/>
  <c r="AN24" i="61" s="1"/>
  <c r="AO24" i="61" s="1"/>
  <c r="AJ26" i="61"/>
  <c r="AM25" i="61"/>
  <c r="AN25" i="61"/>
  <c r="AO25" i="61" s="1"/>
  <c r="AJ27" i="61"/>
  <c r="AM26" i="61"/>
  <c r="AN26" i="61"/>
  <c r="AO26" i="61" s="1"/>
  <c r="AJ28" i="61"/>
  <c r="AM27" i="61"/>
  <c r="AN27" i="61"/>
  <c r="AO27" i="61" s="1"/>
  <c r="AJ29" i="61"/>
  <c r="AM28" i="61"/>
  <c r="AN28" i="61" s="1"/>
  <c r="AO28" i="61" s="1"/>
  <c r="AJ30" i="61"/>
  <c r="AM29" i="61"/>
  <c r="AN29" i="61"/>
  <c r="AO29" i="61" s="1"/>
  <c r="AJ31" i="61"/>
  <c r="AM30" i="61"/>
  <c r="AN30" i="61"/>
  <c r="AO30" i="61" s="1"/>
  <c r="AM31" i="61"/>
  <c r="AN31" i="61" s="1"/>
  <c r="AO31" i="61" s="1"/>
  <c r="AJ32" i="61"/>
  <c r="AM33" i="61"/>
  <c r="AN33" i="61" s="1"/>
  <c r="AO33" i="61" s="1"/>
  <c r="AM32" i="61"/>
  <c r="AN32" i="61"/>
  <c r="AO32" i="61" s="1"/>
  <c r="M44" i="61"/>
  <c r="Y6" i="62"/>
  <c r="Q19" i="29"/>
  <c r="Q15" i="29"/>
  <c r="X15" i="29" s="1"/>
  <c r="T21" i="49"/>
  <c r="R9" i="59"/>
  <c r="T9" i="59" s="1"/>
  <c r="AA9" i="59" s="1"/>
  <c r="R28" i="52"/>
  <c r="R20" i="49"/>
  <c r="T20" i="49" s="1"/>
  <c r="R16" i="44"/>
  <c r="T16" i="44" s="1"/>
  <c r="AA16" i="44" s="1"/>
  <c r="R24" i="43"/>
  <c r="T24" i="43" s="1"/>
  <c r="AA24" i="43" s="1"/>
  <c r="R16" i="42"/>
  <c r="T16" i="42" s="1"/>
  <c r="R10" i="41"/>
  <c r="T10" i="41" s="1"/>
  <c r="AA10" i="41" s="1"/>
  <c r="R18" i="41"/>
  <c r="T18" i="41" s="1"/>
  <c r="AA18" i="41" s="1"/>
  <c r="R24" i="38"/>
  <c r="T24" i="38" s="1"/>
  <c r="R18" i="36"/>
  <c r="R32" i="36"/>
  <c r="T32" i="36" s="1"/>
  <c r="R4" i="34"/>
  <c r="T4" i="34" s="1"/>
  <c r="AA4" i="34" s="1"/>
  <c r="R12" i="32"/>
  <c r="Y12" i="32" s="1"/>
  <c r="R4" i="30"/>
  <c r="T4" i="30" s="1"/>
  <c r="R28" i="30"/>
  <c r="Y28" i="30" s="1"/>
  <c r="T19" i="30"/>
  <c r="AA19" i="30" s="1"/>
  <c r="R16" i="58"/>
  <c r="Y16" i="58" s="1"/>
  <c r="R28" i="56"/>
  <c r="T28" i="56" s="1"/>
  <c r="R4" i="52"/>
  <c r="Y4" i="52" s="1"/>
  <c r="R4" i="50"/>
  <c r="R10" i="47"/>
  <c r="T10" i="47" s="1"/>
  <c r="AA10" i="47" s="1"/>
  <c r="R4" i="45"/>
  <c r="T4" i="45" s="1"/>
  <c r="AA4" i="45" s="1"/>
  <c r="R8" i="44"/>
  <c r="T8" i="44" s="1"/>
  <c r="AA8" i="44" s="1"/>
  <c r="R8" i="42"/>
  <c r="T8" i="42" s="1"/>
  <c r="AA8" i="42" s="1"/>
  <c r="R20" i="35"/>
  <c r="Y20" i="35" s="1"/>
  <c r="R20" i="31"/>
  <c r="Y20" i="31" s="1"/>
  <c r="R28" i="31"/>
  <c r="R6" i="61"/>
  <c r="Y6" i="61" s="1"/>
  <c r="R29" i="61"/>
  <c r="Y29" i="61" s="1"/>
  <c r="T27" i="53"/>
  <c r="Z18" i="39"/>
  <c r="R18" i="39"/>
  <c r="Y18" i="39" s="1"/>
  <c r="Y5" i="61"/>
  <c r="T5" i="61"/>
  <c r="Y9" i="61"/>
  <c r="T9" i="61"/>
  <c r="AA9" i="61" s="1"/>
  <c r="Y15" i="61"/>
  <c r="T15" i="61"/>
  <c r="AA15" i="61" s="1"/>
  <c r="Y23" i="61"/>
  <c r="T23" i="61"/>
  <c r="AA23" i="61" s="1"/>
  <c r="Y27" i="61"/>
  <c r="T27" i="61"/>
  <c r="AA27" i="61" s="1"/>
  <c r="R14" i="46"/>
  <c r="T14" i="46" s="1"/>
  <c r="Z26" i="37"/>
  <c r="Z5" i="61"/>
  <c r="Z9" i="61"/>
  <c r="R10" i="61"/>
  <c r="T10" i="61" s="1"/>
  <c r="AA10" i="61" s="1"/>
  <c r="R14" i="61"/>
  <c r="Y14" i="61" s="1"/>
  <c r="Z15" i="61"/>
  <c r="R22" i="61"/>
  <c r="T22" i="61" s="1"/>
  <c r="AA22" i="61" s="1"/>
  <c r="Z23" i="61"/>
  <c r="R26" i="61"/>
  <c r="T26" i="61" s="1"/>
  <c r="AA26" i="61" s="1"/>
  <c r="Z27" i="61"/>
  <c r="R30" i="61"/>
  <c r="T30" i="61" s="1"/>
  <c r="R18" i="37"/>
  <c r="K42" i="21"/>
  <c r="E44" i="21"/>
  <c r="I58" i="27" s="1"/>
  <c r="AM14" i="24"/>
  <c r="C30" i="23"/>
  <c r="C30" i="24" s="1"/>
  <c r="K30" i="23"/>
  <c r="K30" i="24" s="1"/>
  <c r="AF30" i="23"/>
  <c r="AF30" i="24" s="1"/>
  <c r="K32" i="23"/>
  <c r="K32" i="24" s="1"/>
  <c r="AD13" i="23"/>
  <c r="AD13" i="24" s="1"/>
  <c r="AC13" i="23"/>
  <c r="AC13" i="24" s="1"/>
  <c r="Q42" i="21"/>
  <c r="AB39" i="23"/>
  <c r="AB39" i="24" s="1"/>
  <c r="AA38" i="23"/>
  <c r="AA38" i="24" s="1"/>
  <c r="X38" i="23"/>
  <c r="X38" i="24" s="1"/>
  <c r="V38" i="23"/>
  <c r="V38" i="24" s="1"/>
  <c r="T40" i="23"/>
  <c r="T40" i="24" s="1"/>
  <c r="Q39" i="23"/>
  <c r="Q39" i="24" s="1"/>
  <c r="P13" i="23"/>
  <c r="P13" i="24" s="1"/>
  <c r="O38" i="23"/>
  <c r="O38" i="24" s="1"/>
  <c r="M39" i="23"/>
  <c r="M39" i="24" s="1"/>
  <c r="L38" i="23"/>
  <c r="L38" i="24" s="1"/>
  <c r="K39" i="23"/>
  <c r="K39" i="24" s="1"/>
  <c r="E38" i="23"/>
  <c r="E38" i="24" s="1"/>
  <c r="I13" i="23"/>
  <c r="I13" i="24" s="1"/>
  <c r="AF13" i="23"/>
  <c r="AF13" i="24" s="1"/>
  <c r="B38" i="23"/>
  <c r="F38" i="23"/>
  <c r="F38" i="24" s="1"/>
  <c r="I38" i="23"/>
  <c r="I38" i="24" s="1"/>
  <c r="K38" i="23"/>
  <c r="K38" i="24" s="1"/>
  <c r="U38" i="23"/>
  <c r="U38" i="24" s="1"/>
  <c r="Z38" i="23"/>
  <c r="Z38" i="24" s="1"/>
  <c r="C39" i="23"/>
  <c r="C39" i="24" s="1"/>
  <c r="E39" i="23"/>
  <c r="E39" i="24" s="1"/>
  <c r="U39" i="23"/>
  <c r="U39" i="24" s="1"/>
  <c r="U40" i="23"/>
  <c r="U40" i="24" s="1"/>
  <c r="Y8" i="42"/>
  <c r="T4" i="50"/>
  <c r="AA4" i="50" s="1"/>
  <c r="T16" i="58"/>
  <c r="AA16" i="58" s="1"/>
  <c r="Y4" i="30"/>
  <c r="T28" i="31"/>
  <c r="AA28" i="31" s="1"/>
  <c r="Y28" i="56"/>
  <c r="T12" i="32"/>
  <c r="AA5" i="61"/>
  <c r="Y26" i="61"/>
  <c r="AO4" i="57"/>
  <c r="AO3" i="48"/>
  <c r="AO4" i="42"/>
  <c r="AO3" i="37"/>
  <c r="AO19" i="30"/>
  <c r="AO3" i="62"/>
  <c r="AO3" i="44"/>
  <c r="AO4" i="36"/>
  <c r="AO4" i="32"/>
  <c r="T23" i="55"/>
  <c r="W36" i="31"/>
  <c r="T4" i="59"/>
  <c r="AA4" i="59" s="1"/>
  <c r="T29" i="57"/>
  <c r="AA29" i="57" s="1"/>
  <c r="Y15" i="34"/>
  <c r="T31" i="32"/>
  <c r="T19" i="51"/>
  <c r="AA19" i="51" s="1"/>
  <c r="T19" i="45"/>
  <c r="AA19" i="45" s="1"/>
  <c r="AA14" i="54"/>
  <c r="B15" i="23"/>
  <c r="B15" i="24" s="1"/>
  <c r="B14" i="23"/>
  <c r="D23" i="23"/>
  <c r="D23" i="24" s="1"/>
  <c r="D15" i="23"/>
  <c r="D15" i="24" s="1"/>
  <c r="D14" i="23"/>
  <c r="D14" i="24" s="1"/>
  <c r="AM23" i="24"/>
  <c r="Z21" i="60"/>
  <c r="Y24" i="56"/>
  <c r="Y16" i="55"/>
  <c r="L45" i="52"/>
  <c r="R30" i="46"/>
  <c r="Y30" i="46" s="1"/>
  <c r="L45" i="46"/>
  <c r="L45" i="44"/>
  <c r="L45" i="42"/>
  <c r="L45" i="38"/>
  <c r="L45" i="37"/>
  <c r="L45" i="36"/>
  <c r="V36" i="61"/>
  <c r="L45" i="61"/>
  <c r="Z7" i="62"/>
  <c r="AH14" i="23"/>
  <c r="AH14" i="24" s="1"/>
  <c r="AH18" i="23"/>
  <c r="AH18" i="24" s="1"/>
  <c r="AH26" i="23"/>
  <c r="AH26" i="24" s="1"/>
  <c r="AH30" i="23"/>
  <c r="AH30" i="24" s="1"/>
  <c r="AH38" i="23"/>
  <c r="AH38" i="24" s="1"/>
  <c r="AH23" i="23"/>
  <c r="AH23" i="24" s="1"/>
  <c r="AG14" i="23"/>
  <c r="AG14" i="24" s="1"/>
  <c r="AG15" i="23"/>
  <c r="AG15" i="24" s="1"/>
  <c r="AG22" i="23"/>
  <c r="AG22" i="24" s="1"/>
  <c r="AG23" i="23"/>
  <c r="AG23" i="24" s="1"/>
  <c r="AG26" i="23"/>
  <c r="AG26" i="24" s="1"/>
  <c r="AG32" i="23"/>
  <c r="AG32" i="24" s="1"/>
  <c r="AG35" i="23"/>
  <c r="AG35" i="24" s="1"/>
  <c r="AG38" i="23"/>
  <c r="AG38" i="24" s="1"/>
  <c r="AH42" i="21"/>
  <c r="AG11" i="23"/>
  <c r="AG11" i="24" s="1"/>
  <c r="Y4" i="38" l="1"/>
  <c r="T4" i="38"/>
  <c r="AA4" i="38" s="1"/>
  <c r="AJ36" i="62"/>
  <c r="Y3" i="56"/>
  <c r="T3" i="56"/>
  <c r="AA3" i="56" s="1"/>
  <c r="M44" i="54"/>
  <c r="M45" i="54"/>
  <c r="W22" i="53"/>
  <c r="Z22" i="53"/>
  <c r="T33" i="37"/>
  <c r="AA33" i="37" s="1"/>
  <c r="Y33" i="37"/>
  <c r="Z26" i="35"/>
  <c r="R26" i="35"/>
  <c r="Y26" i="35" s="1"/>
  <c r="AJ10" i="57"/>
  <c r="AM9" i="57"/>
  <c r="AN9" i="57" s="1"/>
  <c r="AO9" i="57" s="1"/>
  <c r="AJ4" i="56"/>
  <c r="AM4" i="56"/>
  <c r="AN4" i="56" s="1"/>
  <c r="AO4" i="56" s="1"/>
  <c r="AJ8" i="56"/>
  <c r="AM8" i="56"/>
  <c r="AN8" i="56" s="1"/>
  <c r="AO8" i="56" s="1"/>
  <c r="AJ14" i="56"/>
  <c r="AM13" i="56"/>
  <c r="AN13" i="56" s="1"/>
  <c r="AO13" i="56" s="1"/>
  <c r="AJ18" i="56"/>
  <c r="AM17" i="56"/>
  <c r="AN17" i="56" s="1"/>
  <c r="AO17" i="56" s="1"/>
  <c r="AJ26" i="56"/>
  <c r="AM26" i="56"/>
  <c r="AN26" i="56" s="1"/>
  <c r="AO26" i="56" s="1"/>
  <c r="AJ30" i="56"/>
  <c r="AM30" i="56"/>
  <c r="AN30" i="56" s="1"/>
  <c r="AO30" i="56" s="1"/>
  <c r="AJ31" i="55"/>
  <c r="AM31" i="55"/>
  <c r="AN31" i="55" s="1"/>
  <c r="AO31" i="55" s="1"/>
  <c r="AJ34" i="55"/>
  <c r="AM33" i="55"/>
  <c r="AN33" i="55" s="1"/>
  <c r="AO33" i="55" s="1"/>
  <c r="AJ9" i="54"/>
  <c r="AM8" i="54"/>
  <c r="AN8" i="54" s="1"/>
  <c r="AO8" i="54" s="1"/>
  <c r="AJ13" i="54"/>
  <c r="AM13" i="54"/>
  <c r="AN13" i="54" s="1"/>
  <c r="AO13" i="54" s="1"/>
  <c r="AM12" i="54"/>
  <c r="AN12" i="54" s="1"/>
  <c r="AO12" i="54" s="1"/>
  <c r="AJ17" i="54"/>
  <c r="AM17" i="54"/>
  <c r="AN17" i="54" s="1"/>
  <c r="AO17" i="54" s="1"/>
  <c r="AJ11" i="52"/>
  <c r="AM10" i="52"/>
  <c r="AN10" i="52" s="1"/>
  <c r="AO10" i="52" s="1"/>
  <c r="AJ18" i="51"/>
  <c r="AM18" i="51"/>
  <c r="AN18" i="51" s="1"/>
  <c r="AO18" i="51" s="1"/>
  <c r="AJ6" i="50"/>
  <c r="AJ36" i="50" s="1"/>
  <c r="AM5" i="50"/>
  <c r="AN5" i="50" s="1"/>
  <c r="AO5" i="50" s="1"/>
  <c r="AJ29" i="48"/>
  <c r="AM28" i="48"/>
  <c r="AN28" i="48" s="1"/>
  <c r="AO28" i="48" s="1"/>
  <c r="AJ5" i="46"/>
  <c r="AM5" i="46"/>
  <c r="AN5" i="46" s="1"/>
  <c r="AO5" i="46" s="1"/>
  <c r="AM4" i="46"/>
  <c r="AN4" i="46" s="1"/>
  <c r="AJ9" i="46"/>
  <c r="AM9" i="46"/>
  <c r="AN9" i="46" s="1"/>
  <c r="AO9" i="46" s="1"/>
  <c r="AJ15" i="46"/>
  <c r="AM14" i="46"/>
  <c r="AN14" i="46" s="1"/>
  <c r="AO14" i="46" s="1"/>
  <c r="AJ26" i="44"/>
  <c r="AJ36" i="44" s="1"/>
  <c r="AM26" i="44"/>
  <c r="AN26" i="44" s="1"/>
  <c r="AO26" i="44" s="1"/>
  <c r="AJ15" i="62"/>
  <c r="AM14" i="62"/>
  <c r="AN14" i="62" s="1"/>
  <c r="AO14" i="62" s="1"/>
  <c r="V19" i="29"/>
  <c r="AI51" i="22"/>
  <c r="AI52" i="22" s="1"/>
  <c r="AI53" i="22" s="1"/>
  <c r="T51" i="22"/>
  <c r="T52" i="22" s="1"/>
  <c r="T53" i="22" s="1"/>
  <c r="Z16" i="35"/>
  <c r="R28" i="36"/>
  <c r="T28" i="36" s="1"/>
  <c r="AA28" i="36" s="1"/>
  <c r="AM20" i="59"/>
  <c r="AN20" i="59" s="1"/>
  <c r="AO20" i="59" s="1"/>
  <c r="AM20" i="57"/>
  <c r="AN20" i="57" s="1"/>
  <c r="AO20" i="57" s="1"/>
  <c r="AM3" i="56"/>
  <c r="AN3" i="56" s="1"/>
  <c r="AO3" i="56" s="1"/>
  <c r="AM7" i="46"/>
  <c r="AN7" i="46" s="1"/>
  <c r="AO7" i="46" s="1"/>
  <c r="K17" i="23"/>
  <c r="K17" i="24" s="1"/>
  <c r="X17" i="23"/>
  <c r="X17" i="24" s="1"/>
  <c r="AM21" i="24"/>
  <c r="G21" i="23"/>
  <c r="G21" i="24" s="1"/>
  <c r="AC33" i="23"/>
  <c r="AC33" i="24" s="1"/>
  <c r="O33" i="23"/>
  <c r="O33" i="24" s="1"/>
  <c r="Z11" i="55"/>
  <c r="R11" i="55"/>
  <c r="Y11" i="55" s="1"/>
  <c r="Z31" i="55"/>
  <c r="R31" i="55"/>
  <c r="W8" i="50"/>
  <c r="AA8" i="50" s="1"/>
  <c r="Z8" i="50"/>
  <c r="Z25" i="50"/>
  <c r="R25" i="50"/>
  <c r="M45" i="50"/>
  <c r="M44" i="50"/>
  <c r="R8" i="46"/>
  <c r="T8" i="46" s="1"/>
  <c r="Z8" i="46"/>
  <c r="AJ6" i="59"/>
  <c r="AJ36" i="59" s="1"/>
  <c r="AM6" i="59"/>
  <c r="AN6" i="59" s="1"/>
  <c r="AO6" i="59" s="1"/>
  <c r="AJ23" i="59"/>
  <c r="AM22" i="59"/>
  <c r="AN22" i="59" s="1"/>
  <c r="AO22" i="59" s="1"/>
  <c r="AM23" i="59"/>
  <c r="AN23" i="59" s="1"/>
  <c r="AO23" i="59" s="1"/>
  <c r="AJ10" i="55"/>
  <c r="AM9" i="55"/>
  <c r="AN9" i="55" s="1"/>
  <c r="AO9" i="55" s="1"/>
  <c r="AJ22" i="55"/>
  <c r="AM22" i="55"/>
  <c r="AN22" i="55" s="1"/>
  <c r="AO22" i="55" s="1"/>
  <c r="AJ3" i="52"/>
  <c r="AM3" i="52"/>
  <c r="AN3" i="52" s="1"/>
  <c r="AO3" i="52" s="1"/>
  <c r="AM20" i="54"/>
  <c r="AN20" i="54" s="1"/>
  <c r="AO20" i="54" s="1"/>
  <c r="AM3" i="54"/>
  <c r="AN3" i="54" s="1"/>
  <c r="AO3" i="54" s="1"/>
  <c r="AM30" i="54"/>
  <c r="AN30" i="54" s="1"/>
  <c r="AO30" i="54" s="1"/>
  <c r="AM9" i="54"/>
  <c r="AN9" i="54" s="1"/>
  <c r="AO9" i="54" s="1"/>
  <c r="AM18" i="53"/>
  <c r="AN18" i="53" s="1"/>
  <c r="AO18" i="53" s="1"/>
  <c r="AM8" i="46"/>
  <c r="AN8" i="46" s="1"/>
  <c r="AO8" i="46" s="1"/>
  <c r="AM6" i="46"/>
  <c r="AN6" i="46" s="1"/>
  <c r="AO6" i="46" s="1"/>
  <c r="Z3" i="56"/>
  <c r="R25" i="34"/>
  <c r="Y25" i="34" s="1"/>
  <c r="R23" i="33"/>
  <c r="T23" i="33" s="1"/>
  <c r="AA23" i="33" s="1"/>
  <c r="M45" i="57"/>
  <c r="M44" i="57"/>
  <c r="R3" i="43"/>
  <c r="T3" i="43" s="1"/>
  <c r="AA3" i="43" s="1"/>
  <c r="Z3" i="43"/>
  <c r="Z5" i="37"/>
  <c r="R5" i="37"/>
  <c r="V27" i="29"/>
  <c r="T27" i="29"/>
  <c r="X27" i="29" s="1"/>
  <c r="T35" i="29"/>
  <c r="W35" i="29"/>
  <c r="AJ6" i="56"/>
  <c r="AM6" i="56"/>
  <c r="AN6" i="56" s="1"/>
  <c r="AO6" i="56" s="1"/>
  <c r="AJ10" i="56"/>
  <c r="AM9" i="56"/>
  <c r="AN9" i="56" s="1"/>
  <c r="AO9" i="56" s="1"/>
  <c r="AJ12" i="56"/>
  <c r="AM12" i="56"/>
  <c r="AN12" i="56" s="1"/>
  <c r="AO12" i="56" s="1"/>
  <c r="AJ16" i="56"/>
  <c r="AM16" i="56"/>
  <c r="AN16" i="56" s="1"/>
  <c r="AO16" i="56" s="1"/>
  <c r="AJ20" i="56"/>
  <c r="AM19" i="56"/>
  <c r="AN19" i="56" s="1"/>
  <c r="AO19" i="56" s="1"/>
  <c r="AM20" i="56"/>
  <c r="AN20" i="56" s="1"/>
  <c r="AO20" i="56" s="1"/>
  <c r="AJ24" i="56"/>
  <c r="AM23" i="56"/>
  <c r="AN23" i="56" s="1"/>
  <c r="AO23" i="56" s="1"/>
  <c r="AJ28" i="56"/>
  <c r="AM27" i="56"/>
  <c r="AN27" i="56" s="1"/>
  <c r="AO27" i="56" s="1"/>
  <c r="AJ32" i="56"/>
  <c r="AM32" i="56"/>
  <c r="AN32" i="56" s="1"/>
  <c r="AO32" i="56" s="1"/>
  <c r="AJ5" i="55"/>
  <c r="AJ36" i="55" s="1"/>
  <c r="AM5" i="55"/>
  <c r="AN5" i="55" s="1"/>
  <c r="AO5" i="55" s="1"/>
  <c r="AJ7" i="54"/>
  <c r="AJ36" i="54" s="1"/>
  <c r="AM6" i="54"/>
  <c r="AN6" i="54" s="1"/>
  <c r="AO6" i="54" s="1"/>
  <c r="AJ11" i="54"/>
  <c r="AM10" i="54"/>
  <c r="AN10" i="54" s="1"/>
  <c r="AO10" i="54" s="1"/>
  <c r="AM11" i="54"/>
  <c r="AN11" i="54" s="1"/>
  <c r="AO11" i="54" s="1"/>
  <c r="AJ15" i="54"/>
  <c r="AM15" i="54"/>
  <c r="AN15" i="54" s="1"/>
  <c r="AO15" i="54" s="1"/>
  <c r="AJ19" i="54"/>
  <c r="AM19" i="54"/>
  <c r="AN19" i="54" s="1"/>
  <c r="AO19" i="54" s="1"/>
  <c r="AJ23" i="54"/>
  <c r="AM23" i="54"/>
  <c r="AN23" i="54" s="1"/>
  <c r="AO23" i="54" s="1"/>
  <c r="AJ25" i="54"/>
  <c r="AM25" i="54"/>
  <c r="AN25" i="54" s="1"/>
  <c r="AO25" i="54" s="1"/>
  <c r="AJ29" i="54"/>
  <c r="AM29" i="54"/>
  <c r="AN29" i="54" s="1"/>
  <c r="AO29" i="54" s="1"/>
  <c r="AM28" i="54"/>
  <c r="AN28" i="54" s="1"/>
  <c r="AO28" i="54" s="1"/>
  <c r="AJ33" i="54"/>
  <c r="AM32" i="54"/>
  <c r="AN32" i="54" s="1"/>
  <c r="AO32" i="54" s="1"/>
  <c r="AJ4" i="53"/>
  <c r="AM4" i="53"/>
  <c r="AN4" i="53" s="1"/>
  <c r="AO4" i="53" s="1"/>
  <c r="AJ6" i="53"/>
  <c r="AM5" i="53"/>
  <c r="AN5" i="53" s="1"/>
  <c r="AO5" i="53" s="1"/>
  <c r="AJ13" i="51"/>
  <c r="AM12" i="51"/>
  <c r="AN12" i="51" s="1"/>
  <c r="AO12" i="51" s="1"/>
  <c r="AJ3" i="46"/>
  <c r="AM3" i="46"/>
  <c r="AN3" i="46" s="1"/>
  <c r="AO3" i="46" s="1"/>
  <c r="AJ11" i="46"/>
  <c r="AM10" i="46"/>
  <c r="AN10" i="46" s="1"/>
  <c r="AO10" i="46" s="1"/>
  <c r="AM11" i="46"/>
  <c r="AN11" i="46" s="1"/>
  <c r="AO11" i="46" s="1"/>
  <c r="AJ13" i="46"/>
  <c r="AM12" i="46"/>
  <c r="AN12" i="46" s="1"/>
  <c r="AO12" i="46" s="1"/>
  <c r="AM13" i="46"/>
  <c r="AN13" i="46" s="1"/>
  <c r="AO13" i="46" s="1"/>
  <c r="AJ17" i="46"/>
  <c r="AM16" i="46"/>
  <c r="AN16" i="46" s="1"/>
  <c r="AO16" i="46" s="1"/>
  <c r="R10" i="39"/>
  <c r="Y10" i="39" s="1"/>
  <c r="R20" i="30"/>
  <c r="Y20" i="30" s="1"/>
  <c r="T25" i="39"/>
  <c r="AA25" i="39" s="1"/>
  <c r="AJ36" i="61"/>
  <c r="R33" i="62"/>
  <c r="Y33" i="62" s="1"/>
  <c r="X35" i="29"/>
  <c r="V23" i="29"/>
  <c r="AM29" i="59"/>
  <c r="AN29" i="59" s="1"/>
  <c r="AO29" i="59" s="1"/>
  <c r="AM14" i="59"/>
  <c r="AN14" i="59" s="1"/>
  <c r="AO14" i="59" s="1"/>
  <c r="AM31" i="56"/>
  <c r="AN31" i="56" s="1"/>
  <c r="AO31" i="56" s="1"/>
  <c r="AM11" i="56"/>
  <c r="AN11" i="56" s="1"/>
  <c r="AO11" i="56" s="1"/>
  <c r="AM21" i="56"/>
  <c r="AN21" i="56" s="1"/>
  <c r="AO21" i="56" s="1"/>
  <c r="AM10" i="56"/>
  <c r="AN10" i="56" s="1"/>
  <c r="AO10" i="56" s="1"/>
  <c r="AM31" i="54"/>
  <c r="AN31" i="54" s="1"/>
  <c r="AO31" i="54" s="1"/>
  <c r="AM11" i="52"/>
  <c r="AN11" i="52" s="1"/>
  <c r="AO11" i="52" s="1"/>
  <c r="AM13" i="51"/>
  <c r="AN13" i="51" s="1"/>
  <c r="AO13" i="51" s="1"/>
  <c r="Y10" i="61"/>
  <c r="Y4" i="45"/>
  <c r="T20" i="31"/>
  <c r="AA20" i="31" s="1"/>
  <c r="X19" i="29"/>
  <c r="AA32" i="62"/>
  <c r="AA24" i="62"/>
  <c r="AM22" i="62"/>
  <c r="AN22" i="62" s="1"/>
  <c r="AO22" i="62" s="1"/>
  <c r="AA8" i="62"/>
  <c r="Q51" i="22"/>
  <c r="Q52" i="22" s="1"/>
  <c r="Q53" i="22" s="1"/>
  <c r="Q8" i="29"/>
  <c r="X8" i="29" s="1"/>
  <c r="V8" i="29"/>
  <c r="Y26" i="38"/>
  <c r="Y18" i="53"/>
  <c r="T18" i="53"/>
  <c r="AA18" i="53" s="1"/>
  <c r="AM12" i="60"/>
  <c r="AN12" i="60" s="1"/>
  <c r="AO12" i="60" s="1"/>
  <c r="AM15" i="59"/>
  <c r="AN15" i="59" s="1"/>
  <c r="AO15" i="59" s="1"/>
  <c r="AM30" i="59"/>
  <c r="AN30" i="59" s="1"/>
  <c r="AO30" i="59" s="1"/>
  <c r="AM17" i="59"/>
  <c r="AN17" i="59" s="1"/>
  <c r="AO17" i="59" s="1"/>
  <c r="AM29" i="57"/>
  <c r="AN29" i="57" s="1"/>
  <c r="AO29" i="57" s="1"/>
  <c r="AM21" i="57"/>
  <c r="AN21" i="57" s="1"/>
  <c r="AO21" i="57" s="1"/>
  <c r="AM24" i="56"/>
  <c r="AN24" i="56" s="1"/>
  <c r="AO24" i="56" s="1"/>
  <c r="AM15" i="56"/>
  <c r="AN15" i="56" s="1"/>
  <c r="AO15" i="56" s="1"/>
  <c r="AM25" i="56"/>
  <c r="AN25" i="56" s="1"/>
  <c r="AO25" i="56" s="1"/>
  <c r="AM22" i="56"/>
  <c r="AN22" i="56" s="1"/>
  <c r="AO22" i="56" s="1"/>
  <c r="AM5" i="56"/>
  <c r="AN5" i="56" s="1"/>
  <c r="AO5" i="56" s="1"/>
  <c r="Y32" i="36"/>
  <c r="Y4" i="50"/>
  <c r="V15" i="29"/>
  <c r="AM30" i="62"/>
  <c r="AN30" i="62" s="1"/>
  <c r="AO30" i="62" s="1"/>
  <c r="AM23" i="62"/>
  <c r="AN23" i="62" s="1"/>
  <c r="AO23" i="62" s="1"/>
  <c r="R17" i="62"/>
  <c r="T17" i="62" s="1"/>
  <c r="AA17" i="62" s="1"/>
  <c r="AM15" i="62"/>
  <c r="AN15" i="62" s="1"/>
  <c r="AO15" i="62" s="1"/>
  <c r="I51" i="22"/>
  <c r="I52" i="22" s="1"/>
  <c r="I53" i="22" s="1"/>
  <c r="Z4" i="59"/>
  <c r="Y12" i="39"/>
  <c r="Y4" i="57"/>
  <c r="W15" i="29"/>
  <c r="AA4" i="57"/>
  <c r="AA12" i="60"/>
  <c r="AN7" i="60"/>
  <c r="AO7" i="60" s="1"/>
  <c r="AM21" i="59"/>
  <c r="AN21" i="59" s="1"/>
  <c r="AO21" i="59" s="1"/>
  <c r="AM18" i="59"/>
  <c r="AN18" i="59" s="1"/>
  <c r="AO18" i="59" s="1"/>
  <c r="AM7" i="56"/>
  <c r="AN7" i="56" s="1"/>
  <c r="AO7" i="56" s="1"/>
  <c r="AM33" i="56"/>
  <c r="AN33" i="56" s="1"/>
  <c r="AO33" i="56" s="1"/>
  <c r="AM14" i="56"/>
  <c r="AN14" i="56" s="1"/>
  <c r="AO14" i="56" s="1"/>
  <c r="AM4" i="55"/>
  <c r="AN4" i="55" s="1"/>
  <c r="AO4" i="55" s="1"/>
  <c r="AM27" i="54"/>
  <c r="AN27" i="54" s="1"/>
  <c r="AO27" i="54" s="1"/>
  <c r="AM24" i="54"/>
  <c r="AN24" i="54" s="1"/>
  <c r="AO24" i="54" s="1"/>
  <c r="AM4" i="54"/>
  <c r="AN4" i="54" s="1"/>
  <c r="AO4" i="54" s="1"/>
  <c r="AM26" i="54"/>
  <c r="AN26" i="54" s="1"/>
  <c r="AO26" i="54" s="1"/>
  <c r="AM18" i="54"/>
  <c r="AN18" i="54" s="1"/>
  <c r="AO18" i="54" s="1"/>
  <c r="AM5" i="54"/>
  <c r="AN5" i="54" s="1"/>
  <c r="AO5" i="54" s="1"/>
  <c r="AM19" i="53"/>
  <c r="AN19" i="53" s="1"/>
  <c r="AO19" i="53" s="1"/>
  <c r="AM17" i="51"/>
  <c r="AN17" i="51" s="1"/>
  <c r="AO17" i="51" s="1"/>
  <c r="W36" i="55"/>
  <c r="AA16" i="62"/>
  <c r="X7" i="29"/>
  <c r="X23" i="29"/>
  <c r="Y17" i="55"/>
  <c r="Z27" i="57"/>
  <c r="R27" i="57"/>
  <c r="Y27" i="57" s="1"/>
  <c r="V36" i="54"/>
  <c r="W6" i="56"/>
  <c r="V36" i="56"/>
  <c r="L45" i="55"/>
  <c r="L44" i="55"/>
  <c r="Z15" i="48"/>
  <c r="R15" i="48"/>
  <c r="T15" i="48" s="1"/>
  <c r="AA15" i="48" s="1"/>
  <c r="W36" i="52"/>
  <c r="AA7" i="45"/>
  <c r="L57" i="3"/>
  <c r="O57" i="3" s="1"/>
  <c r="W12" i="23"/>
  <c r="W12" i="24" s="1"/>
  <c r="P12" i="23"/>
  <c r="P12" i="24" s="1"/>
  <c r="AI32" i="23"/>
  <c r="AI32" i="24" s="1"/>
  <c r="AA32" i="23"/>
  <c r="AA32" i="24" s="1"/>
  <c r="D36" i="23"/>
  <c r="D36" i="24" s="1"/>
  <c r="AF36" i="23"/>
  <c r="AF36" i="24" s="1"/>
  <c r="Z25" i="54"/>
  <c r="Z33" i="54"/>
  <c r="Z15" i="52"/>
  <c r="Z31" i="52"/>
  <c r="Y27" i="50"/>
  <c r="Z31" i="50"/>
  <c r="Y12" i="49"/>
  <c r="R3" i="48"/>
  <c r="T3" i="48" s="1"/>
  <c r="AA3" i="48" s="1"/>
  <c r="Z3" i="48"/>
  <c r="Z11" i="37"/>
  <c r="R11" i="37"/>
  <c r="Y11" i="37" s="1"/>
  <c r="Y13" i="37"/>
  <c r="R3" i="34"/>
  <c r="T3" i="34" s="1"/>
  <c r="AA3" i="34" s="1"/>
  <c r="Z3" i="34"/>
  <c r="G45" i="29"/>
  <c r="G44" i="29"/>
  <c r="E11" i="23"/>
  <c r="AP11" i="22"/>
  <c r="Q11" i="23"/>
  <c r="Q11" i="24" s="1"/>
  <c r="Q44" i="24" s="1"/>
  <c r="G70" i="27" s="1"/>
  <c r="F70" i="27" s="1"/>
  <c r="F11" i="23"/>
  <c r="F11" i="24" s="1"/>
  <c r="AC30" i="23"/>
  <c r="AC30" i="24" s="1"/>
  <c r="AP30" i="22"/>
  <c r="U30" i="23"/>
  <c r="U30" i="24" s="1"/>
  <c r="T26" i="23"/>
  <c r="T26" i="24" s="1"/>
  <c r="AA26" i="23"/>
  <c r="AA26" i="24" s="1"/>
  <c r="B22" i="23"/>
  <c r="O22" i="23"/>
  <c r="O22" i="24" s="1"/>
  <c r="AP18" i="22"/>
  <c r="AE18" i="23"/>
  <c r="AE18" i="24" s="1"/>
  <c r="AL19" i="22"/>
  <c r="AL22" i="22"/>
  <c r="I14" i="23"/>
  <c r="I14" i="24" s="1"/>
  <c r="AB14" i="23"/>
  <c r="AB14" i="24" s="1"/>
  <c r="AC14" i="23"/>
  <c r="AC14" i="24" s="1"/>
  <c r="V14" i="23"/>
  <c r="V14" i="24" s="1"/>
  <c r="AA31" i="53"/>
  <c r="AN50" i="22"/>
  <c r="L48" i="3"/>
  <c r="O48" i="3" s="1"/>
  <c r="I54" i="3"/>
  <c r="L54" i="3" s="1"/>
  <c r="O54" i="3" s="1"/>
  <c r="L63" i="22"/>
  <c r="N51" i="22"/>
  <c r="N52" i="22" s="1"/>
  <c r="N53" i="22" s="1"/>
  <c r="J51" i="22"/>
  <c r="J52" i="22" s="1"/>
  <c r="J53" i="22" s="1"/>
  <c r="I56" i="3"/>
  <c r="Z5" i="59"/>
  <c r="Z9" i="59"/>
  <c r="Z17" i="59"/>
  <c r="Z26" i="59"/>
  <c r="Z30" i="59"/>
  <c r="W36" i="58"/>
  <c r="Z22" i="57"/>
  <c r="Z27" i="55"/>
  <c r="V36" i="51"/>
  <c r="Z30" i="48"/>
  <c r="AA8" i="47"/>
  <c r="Z29" i="47"/>
  <c r="R29" i="47"/>
  <c r="Z22" i="45"/>
  <c r="Z23" i="41"/>
  <c r="Z16" i="58"/>
  <c r="Z29" i="58"/>
  <c r="Z18" i="56"/>
  <c r="Z18" i="55"/>
  <c r="AA16" i="53"/>
  <c r="Y22" i="53"/>
  <c r="Z10" i="47"/>
  <c r="Z6" i="46"/>
  <c r="Y8" i="45"/>
  <c r="Z20" i="44"/>
  <c r="AA31" i="48"/>
  <c r="Y12" i="60"/>
  <c r="Z6" i="59"/>
  <c r="Z10" i="59"/>
  <c r="Y22" i="59"/>
  <c r="Z27" i="59"/>
  <c r="Z15" i="58"/>
  <c r="Z31" i="58"/>
  <c r="Z8" i="57"/>
  <c r="Z32" i="57"/>
  <c r="Z10" i="56"/>
  <c r="Z11" i="56"/>
  <c r="Z16" i="56"/>
  <c r="Z17" i="56"/>
  <c r="Z23" i="56"/>
  <c r="Z30" i="56"/>
  <c r="Z31" i="56"/>
  <c r="Z7" i="55"/>
  <c r="AA16" i="55"/>
  <c r="Z17" i="55"/>
  <c r="Z15" i="53"/>
  <c r="Z10" i="52"/>
  <c r="Z11" i="52"/>
  <c r="Y16" i="52"/>
  <c r="Z17" i="52"/>
  <c r="Z17" i="51"/>
  <c r="AA14" i="50"/>
  <c r="Z33" i="50"/>
  <c r="AA30" i="49"/>
  <c r="Z11" i="48"/>
  <c r="AA16" i="48"/>
  <c r="Z17" i="48"/>
  <c r="Z31" i="48"/>
  <c r="Z9" i="47"/>
  <c r="Z26" i="47"/>
  <c r="Z4" i="46"/>
  <c r="AA24" i="46"/>
  <c r="Z6" i="45"/>
  <c r="Z7" i="45"/>
  <c r="Z30" i="45"/>
  <c r="Z8" i="44"/>
  <c r="Z9" i="44"/>
  <c r="Z26" i="44"/>
  <c r="Z20" i="41"/>
  <c r="Z27" i="41"/>
  <c r="AN3" i="59"/>
  <c r="AN9" i="59"/>
  <c r="AO9" i="59" s="1"/>
  <c r="S37" i="29"/>
  <c r="W32" i="29"/>
  <c r="W24" i="29"/>
  <c r="W20" i="29"/>
  <c r="W12" i="29"/>
  <c r="Z10" i="62"/>
  <c r="Z12" i="62"/>
  <c r="Z14" i="62"/>
  <c r="Z16" i="62"/>
  <c r="Z18" i="62"/>
  <c r="Z20" i="62"/>
  <c r="Z22" i="62"/>
  <c r="Z24" i="62"/>
  <c r="Z26" i="62"/>
  <c r="Z28" i="62"/>
  <c r="Z30" i="62"/>
  <c r="Z32" i="62"/>
  <c r="Z13" i="61"/>
  <c r="Z21" i="61"/>
  <c r="Z29" i="61"/>
  <c r="Y11" i="61"/>
  <c r="Z8" i="62"/>
  <c r="AN36" i="50"/>
  <c r="AN37" i="50" s="1"/>
  <c r="AO3" i="49"/>
  <c r="AN36" i="49"/>
  <c r="AN37" i="49" s="1"/>
  <c r="AN36" i="44"/>
  <c r="AN37" i="44" s="1"/>
  <c r="AN36" i="35"/>
  <c r="AN37" i="35" s="1"/>
  <c r="AO3" i="35"/>
  <c r="AO3" i="33"/>
  <c r="AN36" i="33"/>
  <c r="AN37" i="33" s="1"/>
  <c r="AO5" i="57"/>
  <c r="AN36" i="38"/>
  <c r="AN37" i="38" s="1"/>
  <c r="AO4" i="38"/>
  <c r="AN36" i="32"/>
  <c r="AN37" i="32" s="1"/>
  <c r="W36" i="32"/>
  <c r="AO3" i="59"/>
  <c r="AO4" i="41"/>
  <c r="AN36" i="40"/>
  <c r="AN37" i="40" s="1"/>
  <c r="AN36" i="39"/>
  <c r="AN37" i="39" s="1"/>
  <c r="AO7" i="39"/>
  <c r="AN36" i="61"/>
  <c r="AN37" i="61" s="1"/>
  <c r="AO3" i="61"/>
  <c r="AO3" i="58"/>
  <c r="AN36" i="58"/>
  <c r="AN37" i="58" s="1"/>
  <c r="T18" i="37"/>
  <c r="AA18" i="37" s="1"/>
  <c r="Y18" i="37"/>
  <c r="T18" i="36"/>
  <c r="AA18" i="36" s="1"/>
  <c r="Y18" i="36"/>
  <c r="T26" i="31"/>
  <c r="AA26" i="31" s="1"/>
  <c r="Y26" i="31"/>
  <c r="AA13" i="37"/>
  <c r="AF11" i="24"/>
  <c r="L45" i="60"/>
  <c r="L44" i="60"/>
  <c r="Y31" i="38"/>
  <c r="AN36" i="45"/>
  <c r="AN37" i="45" s="1"/>
  <c r="AO4" i="34"/>
  <c r="AA12" i="32"/>
  <c r="V36" i="34"/>
  <c r="V36" i="48"/>
  <c r="AA26" i="53"/>
  <c r="Y8" i="47"/>
  <c r="AA16" i="47"/>
  <c r="AO3" i="36"/>
  <c r="M44" i="59"/>
  <c r="M45" i="59"/>
  <c r="R24" i="48"/>
  <c r="Y24" i="48" s="1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AN36" i="55"/>
  <c r="AN37" i="55" s="1"/>
  <c r="T29" i="61"/>
  <c r="AA29" i="61" s="1"/>
  <c r="AA14" i="46"/>
  <c r="E51" i="22"/>
  <c r="E52" i="22" s="1"/>
  <c r="E53" i="22" s="1"/>
  <c r="AA12" i="49"/>
  <c r="V36" i="53"/>
  <c r="T12" i="37"/>
  <c r="AA12" i="37" s="1"/>
  <c r="Y7" i="35"/>
  <c r="Y13" i="57"/>
  <c r="Y5" i="57"/>
  <c r="T5" i="57"/>
  <c r="AA5" i="57" s="1"/>
  <c r="W3" i="54"/>
  <c r="Y27" i="53"/>
  <c r="W27" i="51"/>
  <c r="M44" i="44"/>
  <c r="R29" i="44"/>
  <c r="R15" i="43"/>
  <c r="T15" i="43" s="1"/>
  <c r="AA15" i="43" s="1"/>
  <c r="E11" i="24"/>
  <c r="AN44" i="22"/>
  <c r="AN42" i="22"/>
  <c r="AI14" i="23"/>
  <c r="AI14" i="24" s="1"/>
  <c r="G14" i="23"/>
  <c r="G14" i="24" s="1"/>
  <c r="J14" i="23"/>
  <c r="J14" i="24" s="1"/>
  <c r="L14" i="23"/>
  <c r="L14" i="24" s="1"/>
  <c r="M14" i="23"/>
  <c r="M14" i="24" s="1"/>
  <c r="O14" i="23"/>
  <c r="O14" i="24" s="1"/>
  <c r="P14" i="23"/>
  <c r="P14" i="24" s="1"/>
  <c r="S14" i="23"/>
  <c r="S14" i="24" s="1"/>
  <c r="Y14" i="23"/>
  <c r="Y14" i="24" s="1"/>
  <c r="H14" i="23"/>
  <c r="H14" i="24" s="1"/>
  <c r="Q14" i="23"/>
  <c r="Q14" i="24" s="1"/>
  <c r="R14" i="23"/>
  <c r="R14" i="24" s="1"/>
  <c r="Z14" i="23"/>
  <c r="Z14" i="24" s="1"/>
  <c r="AF14" i="23"/>
  <c r="AF14" i="24" s="1"/>
  <c r="C14" i="23"/>
  <c r="C14" i="24" s="1"/>
  <c r="X14" i="23"/>
  <c r="X14" i="24" s="1"/>
  <c r="W14" i="23"/>
  <c r="W14" i="24" s="1"/>
  <c r="AA14" i="23"/>
  <c r="AA14" i="24" s="1"/>
  <c r="F14" i="23"/>
  <c r="F14" i="24" s="1"/>
  <c r="K14" i="23"/>
  <c r="K14" i="24" s="1"/>
  <c r="N14" i="23"/>
  <c r="N14" i="24" s="1"/>
  <c r="T14" i="23"/>
  <c r="T14" i="24" s="1"/>
  <c r="AD14" i="23"/>
  <c r="AD14" i="24" s="1"/>
  <c r="D18" i="23"/>
  <c r="D18" i="24" s="1"/>
  <c r="E18" i="23"/>
  <c r="E18" i="24" s="1"/>
  <c r="F18" i="23"/>
  <c r="F18" i="24" s="1"/>
  <c r="X18" i="23"/>
  <c r="X18" i="24" s="1"/>
  <c r="Z18" i="23"/>
  <c r="Z18" i="24" s="1"/>
  <c r="AD18" i="23"/>
  <c r="AD18" i="24" s="1"/>
  <c r="AC18" i="23"/>
  <c r="AC18" i="24" s="1"/>
  <c r="Y18" i="23"/>
  <c r="Y18" i="24" s="1"/>
  <c r="P18" i="23"/>
  <c r="P18" i="24" s="1"/>
  <c r="H18" i="23"/>
  <c r="H18" i="24" s="1"/>
  <c r="I18" i="23"/>
  <c r="I18" i="24" s="1"/>
  <c r="J18" i="23"/>
  <c r="J18" i="24" s="1"/>
  <c r="M18" i="23"/>
  <c r="M18" i="24" s="1"/>
  <c r="AF18" i="23"/>
  <c r="AF18" i="24" s="1"/>
  <c r="S18" i="23"/>
  <c r="S18" i="24" s="1"/>
  <c r="G18" i="23"/>
  <c r="G18" i="24" s="1"/>
  <c r="AG18" i="23"/>
  <c r="AG18" i="24" s="1"/>
  <c r="R18" i="23"/>
  <c r="R18" i="24" s="1"/>
  <c r="AB18" i="23"/>
  <c r="AB18" i="24" s="1"/>
  <c r="O18" i="23"/>
  <c r="O18" i="24" s="1"/>
  <c r="C18" i="23"/>
  <c r="C18" i="24" s="1"/>
  <c r="AM18" i="24"/>
  <c r="U18" i="23"/>
  <c r="U18" i="24" s="1"/>
  <c r="W18" i="23"/>
  <c r="W18" i="24" s="1"/>
  <c r="B18" i="23"/>
  <c r="V18" i="23"/>
  <c r="V18" i="24" s="1"/>
  <c r="L18" i="23"/>
  <c r="L18" i="24" s="1"/>
  <c r="D22" i="23"/>
  <c r="D22" i="24" s="1"/>
  <c r="H22" i="23"/>
  <c r="H22" i="24" s="1"/>
  <c r="R22" i="23"/>
  <c r="R22" i="24" s="1"/>
  <c r="W22" i="23"/>
  <c r="W22" i="24" s="1"/>
  <c r="AA22" i="23"/>
  <c r="AA22" i="24" s="1"/>
  <c r="AF22" i="23"/>
  <c r="AF22" i="24" s="1"/>
  <c r="AC22" i="23"/>
  <c r="AC22" i="24" s="1"/>
  <c r="E22" i="23"/>
  <c r="E22" i="24" s="1"/>
  <c r="T22" i="23"/>
  <c r="T22" i="24" s="1"/>
  <c r="U22" i="23"/>
  <c r="U22" i="24" s="1"/>
  <c r="V22" i="23"/>
  <c r="V22" i="24" s="1"/>
  <c r="AH22" i="23"/>
  <c r="AH22" i="24" s="1"/>
  <c r="L22" i="23"/>
  <c r="L22" i="24" s="1"/>
  <c r="P22" i="23"/>
  <c r="P22" i="24" s="1"/>
  <c r="Q22" i="23"/>
  <c r="Q22" i="24" s="1"/>
  <c r="S22" i="23"/>
  <c r="S22" i="24" s="1"/>
  <c r="Z22" i="23"/>
  <c r="Z22" i="24" s="1"/>
  <c r="AB22" i="23"/>
  <c r="AB22" i="24" s="1"/>
  <c r="AD22" i="23"/>
  <c r="AD22" i="24" s="1"/>
  <c r="G22" i="23"/>
  <c r="G22" i="24" s="1"/>
  <c r="AE22" i="23"/>
  <c r="AE22" i="24" s="1"/>
  <c r="X22" i="23"/>
  <c r="X22" i="24" s="1"/>
  <c r="AE26" i="23"/>
  <c r="AE26" i="24" s="1"/>
  <c r="C26" i="23"/>
  <c r="C26" i="24" s="1"/>
  <c r="O26" i="23"/>
  <c r="O26" i="24" s="1"/>
  <c r="W26" i="23"/>
  <c r="W26" i="24" s="1"/>
  <c r="AF26" i="23"/>
  <c r="AF26" i="24" s="1"/>
  <c r="L26" i="23"/>
  <c r="L26" i="24" s="1"/>
  <c r="X26" i="23"/>
  <c r="X26" i="24" s="1"/>
  <c r="Y26" i="23"/>
  <c r="Y26" i="24" s="1"/>
  <c r="AB26" i="23"/>
  <c r="AB26" i="24" s="1"/>
  <c r="AD26" i="23"/>
  <c r="AD26" i="24" s="1"/>
  <c r="D26" i="23"/>
  <c r="D26" i="24" s="1"/>
  <c r="AM26" i="24"/>
  <c r="F26" i="23"/>
  <c r="F26" i="24" s="1"/>
  <c r="G26" i="23"/>
  <c r="G26" i="24" s="1"/>
  <c r="I26" i="23"/>
  <c r="I26" i="24" s="1"/>
  <c r="J26" i="23"/>
  <c r="J26" i="24" s="1"/>
  <c r="K26" i="23"/>
  <c r="K26" i="24" s="1"/>
  <c r="N26" i="23"/>
  <c r="N26" i="24" s="1"/>
  <c r="U26" i="23"/>
  <c r="U26" i="24" s="1"/>
  <c r="V26" i="23"/>
  <c r="V26" i="24" s="1"/>
  <c r="E26" i="23"/>
  <c r="E26" i="24" s="1"/>
  <c r="M26" i="23"/>
  <c r="M26" i="24" s="1"/>
  <c r="Z26" i="23"/>
  <c r="Z26" i="24" s="1"/>
  <c r="P26" i="23"/>
  <c r="P26" i="24" s="1"/>
  <c r="D30" i="23"/>
  <c r="D30" i="24" s="1"/>
  <c r="R30" i="23"/>
  <c r="R30" i="24" s="1"/>
  <c r="V30" i="23"/>
  <c r="V30" i="24" s="1"/>
  <c r="AB30" i="23"/>
  <c r="AB30" i="24" s="1"/>
  <c r="M30" i="23"/>
  <c r="M30" i="24" s="1"/>
  <c r="X30" i="23"/>
  <c r="X30" i="24" s="1"/>
  <c r="Q30" i="23"/>
  <c r="Q30" i="24" s="1"/>
  <c r="I30" i="23"/>
  <c r="I30" i="24" s="1"/>
  <c r="O30" i="23"/>
  <c r="O30" i="24" s="1"/>
  <c r="G30" i="23"/>
  <c r="G30" i="24" s="1"/>
  <c r="Z30" i="23"/>
  <c r="Z30" i="24" s="1"/>
  <c r="N30" i="23"/>
  <c r="N30" i="24" s="1"/>
  <c r="E30" i="23"/>
  <c r="E30" i="24" s="1"/>
  <c r="AM30" i="24"/>
  <c r="AG30" i="23"/>
  <c r="AG30" i="24" s="1"/>
  <c r="Y30" i="23"/>
  <c r="Y30" i="24" s="1"/>
  <c r="F30" i="23"/>
  <c r="F30" i="24" s="1"/>
  <c r="W30" i="23"/>
  <c r="W30" i="24" s="1"/>
  <c r="L30" i="23"/>
  <c r="L30" i="24" s="1"/>
  <c r="B30" i="23"/>
  <c r="H30" i="23"/>
  <c r="H30" i="24" s="1"/>
  <c r="AA30" i="23"/>
  <c r="AA30" i="24" s="1"/>
  <c r="P30" i="23"/>
  <c r="P30" i="24" s="1"/>
  <c r="S30" i="23"/>
  <c r="S30" i="24" s="1"/>
  <c r="AI34" i="23"/>
  <c r="AI34" i="24" s="1"/>
  <c r="P34" i="23"/>
  <c r="P34" i="24" s="1"/>
  <c r="Y34" i="23"/>
  <c r="Y34" i="24" s="1"/>
  <c r="J34" i="23"/>
  <c r="J34" i="24" s="1"/>
  <c r="Q34" i="23"/>
  <c r="Q34" i="24" s="1"/>
  <c r="S34" i="23"/>
  <c r="S34" i="24" s="1"/>
  <c r="I34" i="23"/>
  <c r="I34" i="24" s="1"/>
  <c r="C38" i="23"/>
  <c r="C38" i="24" s="1"/>
  <c r="Q38" i="23"/>
  <c r="Q38" i="24" s="1"/>
  <c r="S38" i="23"/>
  <c r="S38" i="24" s="1"/>
  <c r="Y38" i="23"/>
  <c r="Y38" i="24" s="1"/>
  <c r="T38" i="23"/>
  <c r="T38" i="24" s="1"/>
  <c r="G38" i="23"/>
  <c r="G38" i="24" s="1"/>
  <c r="D38" i="23"/>
  <c r="D38" i="24" s="1"/>
  <c r="J38" i="23"/>
  <c r="J38" i="24" s="1"/>
  <c r="AF38" i="23"/>
  <c r="AF38" i="24" s="1"/>
  <c r="AB38" i="23"/>
  <c r="AB38" i="24" s="1"/>
  <c r="AC38" i="23"/>
  <c r="AC38" i="24" s="1"/>
  <c r="R38" i="23"/>
  <c r="R38" i="24" s="1"/>
  <c r="W26" i="60"/>
  <c r="W36" i="60" s="1"/>
  <c r="Y26" i="60"/>
  <c r="W6" i="50"/>
  <c r="V36" i="50"/>
  <c r="L44" i="50"/>
  <c r="L45" i="50"/>
  <c r="V36" i="47"/>
  <c r="W3" i="47"/>
  <c r="W36" i="47" s="1"/>
  <c r="Z10" i="43"/>
  <c r="R10" i="43"/>
  <c r="T10" i="43" s="1"/>
  <c r="AA10" i="43" s="1"/>
  <c r="W36" i="34"/>
  <c r="M44" i="33"/>
  <c r="M45" i="33"/>
  <c r="R3" i="32"/>
  <c r="Z3" i="32"/>
  <c r="W18" i="30"/>
  <c r="W36" i="30" s="1"/>
  <c r="Z18" i="30"/>
  <c r="Y10" i="56"/>
  <c r="T10" i="56"/>
  <c r="AA10" i="56" s="1"/>
  <c r="AN36" i="43"/>
  <c r="AN37" i="43" s="1"/>
  <c r="W36" i="39"/>
  <c r="Y29" i="30"/>
  <c r="T29" i="30"/>
  <c r="AA29" i="30" s="1"/>
  <c r="Z31" i="51"/>
  <c r="R31" i="51"/>
  <c r="Y31" i="51" s="1"/>
  <c r="Z19" i="47"/>
  <c r="R19" i="47"/>
  <c r="Y19" i="47" s="1"/>
  <c r="Z30" i="47"/>
  <c r="R30" i="47"/>
  <c r="T30" i="47" s="1"/>
  <c r="AA30" i="47" s="1"/>
  <c r="Z33" i="34"/>
  <c r="R33" i="34"/>
  <c r="Y33" i="34" s="1"/>
  <c r="W5" i="33"/>
  <c r="V36" i="33"/>
  <c r="Z32" i="33"/>
  <c r="W32" i="33"/>
  <c r="AA32" i="33" s="1"/>
  <c r="AA23" i="55"/>
  <c r="AN36" i="51"/>
  <c r="AN37" i="51" s="1"/>
  <c r="Y18" i="62"/>
  <c r="T26" i="34"/>
  <c r="AA26" i="34" s="1"/>
  <c r="AA12" i="36"/>
  <c r="Y6" i="37"/>
  <c r="T6" i="37"/>
  <c r="AA6" i="37" s="1"/>
  <c r="AN36" i="48"/>
  <c r="AN37" i="48" s="1"/>
  <c r="AO3" i="47"/>
  <c r="AN36" i="47"/>
  <c r="AN37" i="47" s="1"/>
  <c r="Y25" i="49"/>
  <c r="R19" i="35"/>
  <c r="Y19" i="35" s="1"/>
  <c r="R5" i="35"/>
  <c r="Z21" i="55"/>
  <c r="R21" i="55"/>
  <c r="Z23" i="44"/>
  <c r="R23" i="44"/>
  <c r="V36" i="41"/>
  <c r="Z3" i="41"/>
  <c r="T6" i="41"/>
  <c r="AA6" i="41" s="1"/>
  <c r="Y6" i="41"/>
  <c r="Z11" i="41"/>
  <c r="R11" i="41"/>
  <c r="Z9" i="40"/>
  <c r="R9" i="40"/>
  <c r="T9" i="40" s="1"/>
  <c r="AA9" i="40" s="1"/>
  <c r="Z15" i="40"/>
  <c r="R15" i="40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AA24" i="38"/>
  <c r="Y5" i="60"/>
  <c r="R8" i="56"/>
  <c r="T8" i="56" s="1"/>
  <c r="AA8" i="56" s="1"/>
  <c r="Y22" i="55"/>
  <c r="T4" i="58"/>
  <c r="AA4" i="58" s="1"/>
  <c r="T26" i="52"/>
  <c r="AA26" i="52" s="1"/>
  <c r="R10" i="32"/>
  <c r="Y10" i="32" s="1"/>
  <c r="Y32" i="33"/>
  <c r="AA30" i="38"/>
  <c r="AA22" i="39"/>
  <c r="Y12" i="43"/>
  <c r="Z16" i="45"/>
  <c r="AN7" i="59"/>
  <c r="AO7" i="59" s="1"/>
  <c r="AM28" i="57"/>
  <c r="AN28" i="57" s="1"/>
  <c r="AO28" i="57" s="1"/>
  <c r="AN36" i="54"/>
  <c r="AN37" i="54" s="1"/>
  <c r="AN12" i="52"/>
  <c r="AO12" i="52" s="1"/>
  <c r="AN36" i="31"/>
  <c r="AN37" i="31" s="1"/>
  <c r="AO3" i="43"/>
  <c r="AN36" i="42"/>
  <c r="AN37" i="42" s="1"/>
  <c r="Y10" i="41"/>
  <c r="Y24" i="38"/>
  <c r="R14" i="48"/>
  <c r="Y14" i="48" s="1"/>
  <c r="AA27" i="53"/>
  <c r="AA28" i="56"/>
  <c r="AA32" i="36"/>
  <c r="R8" i="40"/>
  <c r="Y30" i="31"/>
  <c r="T30" i="31"/>
  <c r="AA30" i="31" s="1"/>
  <c r="V36" i="31"/>
  <c r="V36" i="36"/>
  <c r="V36" i="49"/>
  <c r="R18" i="58"/>
  <c r="T18" i="58" s="1"/>
  <c r="AA18" i="58" s="1"/>
  <c r="T18" i="55"/>
  <c r="AA18" i="55" s="1"/>
  <c r="Y14" i="40"/>
  <c r="Y26" i="33"/>
  <c r="AA6" i="35"/>
  <c r="Z32" i="46"/>
  <c r="Z16" i="47"/>
  <c r="R30" i="57"/>
  <c r="Y30" i="57" s="1"/>
  <c r="Y19" i="37"/>
  <c r="T11" i="37"/>
  <c r="AA11" i="3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AA19" i="37"/>
  <c r="W13" i="37"/>
  <c r="W36" i="37" s="1"/>
  <c r="Y22" i="23"/>
  <c r="Y22" i="24" s="1"/>
  <c r="U14" i="23"/>
  <c r="U14" i="24" s="1"/>
  <c r="Q26" i="23"/>
  <c r="Q26" i="24" s="1"/>
  <c r="M34" i="23"/>
  <c r="M34" i="24" s="1"/>
  <c r="H26" i="23"/>
  <c r="H26" i="24" s="1"/>
  <c r="R28" i="60"/>
  <c r="T28" i="60" s="1"/>
  <c r="AA28" i="60" s="1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V36" i="42"/>
  <c r="W3" i="42"/>
  <c r="W36" i="42" s="1"/>
  <c r="Z3" i="42"/>
  <c r="V36" i="39"/>
  <c r="Z13" i="39"/>
  <c r="R13" i="39"/>
  <c r="T13" i="39" s="1"/>
  <c r="AA13" i="39" s="1"/>
  <c r="Z11" i="38"/>
  <c r="R11" i="38"/>
  <c r="Z16" i="38"/>
  <c r="R16" i="38"/>
  <c r="T16" i="38" s="1"/>
  <c r="AA16" i="38" s="1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T7" i="46"/>
  <c r="AA7" i="46" s="1"/>
  <c r="Y7" i="46"/>
  <c r="AA7" i="33"/>
  <c r="L50" i="3"/>
  <c r="O50" i="3" s="1"/>
  <c r="AM11" i="24"/>
  <c r="V11" i="23"/>
  <c r="V11" i="24" s="1"/>
  <c r="V44" i="24" s="1"/>
  <c r="G75" i="27" s="1"/>
  <c r="S11" i="23"/>
  <c r="S11" i="24" s="1"/>
  <c r="H11" i="23"/>
  <c r="H11" i="24" s="1"/>
  <c r="U11" i="23"/>
  <c r="G11" i="23"/>
  <c r="G11" i="24" s="1"/>
  <c r="AA11" i="23"/>
  <c r="V36" i="60"/>
  <c r="Z32" i="58"/>
  <c r="W6" i="57"/>
  <c r="W36" i="57" s="1"/>
  <c r="V36" i="57"/>
  <c r="Y12" i="57"/>
  <c r="W12" i="57"/>
  <c r="AA12" i="57" s="1"/>
  <c r="W36" i="56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W36" i="49" s="1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Z11" i="43"/>
  <c r="R11" i="43"/>
  <c r="Y11" i="43" s="1"/>
  <c r="Z17" i="43"/>
  <c r="Z8" i="38"/>
  <c r="Z18" i="38"/>
  <c r="R18" i="38"/>
  <c r="Y18" i="38" s="1"/>
  <c r="Z22" i="38"/>
  <c r="W12" i="36"/>
  <c r="W36" i="36" s="1"/>
  <c r="Y12" i="36"/>
  <c r="Z24" i="36"/>
  <c r="R24" i="36"/>
  <c r="T24" i="36" s="1"/>
  <c r="AA24" i="36" s="1"/>
  <c r="Z25" i="36"/>
  <c r="R25" i="36"/>
  <c r="Z30" i="36"/>
  <c r="R30" i="36"/>
  <c r="T30" i="36" s="1"/>
  <c r="AA30" i="36" s="1"/>
  <c r="W5" i="35"/>
  <c r="W36" i="35" s="1"/>
  <c r="V36" i="35"/>
  <c r="Z31" i="33"/>
  <c r="Z4" i="32"/>
  <c r="W31" i="32"/>
  <c r="AA31" i="32" s="1"/>
  <c r="Y31" i="32"/>
  <c r="Z33" i="30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J24" i="37"/>
  <c r="AJ36" i="37" s="1"/>
  <c r="AM23" i="37"/>
  <c r="AN23" i="37" s="1"/>
  <c r="AO23" i="37" s="1"/>
  <c r="AJ28" i="33"/>
  <c r="AJ36" i="33" s="1"/>
  <c r="AM27" i="33"/>
  <c r="AN27" i="33" s="1"/>
  <c r="AO27" i="33" s="1"/>
  <c r="AJ3" i="30"/>
  <c r="AM3" i="30"/>
  <c r="AN3" i="30" s="1"/>
  <c r="AJ7" i="30"/>
  <c r="AM6" i="30"/>
  <c r="AN6" i="30" s="1"/>
  <c r="AO6" i="30" s="1"/>
  <c r="AJ13" i="30"/>
  <c r="AM12" i="30"/>
  <c r="AN12" i="30" s="1"/>
  <c r="AO12" i="30" s="1"/>
  <c r="AJ15" i="30"/>
  <c r="AM14" i="30"/>
  <c r="AN14" i="30" s="1"/>
  <c r="AO14" i="30" s="1"/>
  <c r="AJ21" i="30"/>
  <c r="AM20" i="30"/>
  <c r="AN20" i="30" s="1"/>
  <c r="AO20" i="30" s="1"/>
  <c r="AJ23" i="30"/>
  <c r="AM22" i="30"/>
  <c r="AN22" i="30" s="1"/>
  <c r="AO22" i="30" s="1"/>
  <c r="AM23" i="30"/>
  <c r="AN23" i="30" s="1"/>
  <c r="AO23" i="30" s="1"/>
  <c r="AJ31" i="30"/>
  <c r="AM30" i="30"/>
  <c r="AN30" i="30" s="1"/>
  <c r="AO30" i="30" s="1"/>
  <c r="AM31" i="30"/>
  <c r="AN31" i="30" s="1"/>
  <c r="AO31" i="30" s="1"/>
  <c r="AJ5" i="63"/>
  <c r="AJ36" i="63" s="1"/>
  <c r="AM4" i="63"/>
  <c r="AN4" i="63" s="1"/>
  <c r="AO4" i="63" s="1"/>
  <c r="Z20" i="64"/>
  <c r="R20" i="64"/>
  <c r="T20" i="64" s="1"/>
  <c r="Z33" i="64"/>
  <c r="R33" i="64"/>
  <c r="T33" i="64" s="1"/>
  <c r="AD39" i="23"/>
  <c r="AD39" i="24" s="1"/>
  <c r="AL39" i="22"/>
  <c r="N39" i="23"/>
  <c r="N39" i="24" s="1"/>
  <c r="Z39" i="23"/>
  <c r="Z39" i="24" s="1"/>
  <c r="B35" i="23"/>
  <c r="AP35" i="22"/>
  <c r="K31" i="23"/>
  <c r="K31" i="24" s="1"/>
  <c r="AC31" i="23"/>
  <c r="AC31" i="24" s="1"/>
  <c r="W31" i="23"/>
  <c r="W31" i="24" s="1"/>
  <c r="AL30" i="22"/>
  <c r="AP23" i="22"/>
  <c r="F23" i="23"/>
  <c r="F23" i="24" s="1"/>
  <c r="AC23" i="23"/>
  <c r="AC23" i="24" s="1"/>
  <c r="AF23" i="23"/>
  <c r="AF23" i="24" s="1"/>
  <c r="T19" i="23"/>
  <c r="T19" i="24" s="1"/>
  <c r="AE19" i="23"/>
  <c r="AE19" i="24" s="1"/>
  <c r="AB19" i="23"/>
  <c r="AB19" i="24" s="1"/>
  <c r="S19" i="23"/>
  <c r="S19" i="24" s="1"/>
  <c r="AH19" i="23"/>
  <c r="AH19" i="24" s="1"/>
  <c r="I19" i="23"/>
  <c r="I19" i="24" s="1"/>
  <c r="I15" i="23"/>
  <c r="I15" i="24" s="1"/>
  <c r="T15" i="23"/>
  <c r="T15" i="24" s="1"/>
  <c r="U15" i="23"/>
  <c r="U15" i="24" s="1"/>
  <c r="AP15" i="22"/>
  <c r="AC15" i="23"/>
  <c r="AC15" i="24" s="1"/>
  <c r="AE15" i="23"/>
  <c r="AE15" i="24" s="1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AJ14" i="41"/>
  <c r="AJ36" i="41" s="1"/>
  <c r="AM13" i="41"/>
  <c r="AN13" i="41" s="1"/>
  <c r="AO13" i="41" s="1"/>
  <c r="AA7" i="35"/>
  <c r="AA29" i="31"/>
  <c r="T21" i="31"/>
  <c r="AA21" i="31" s="1"/>
  <c r="Y21" i="31"/>
  <c r="L52" i="3"/>
  <c r="O52" i="3" s="1"/>
  <c r="R31" i="60"/>
  <c r="Y31" i="60" s="1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Z5" i="43"/>
  <c r="R5" i="43"/>
  <c r="Y5" i="43" s="1"/>
  <c r="W6" i="43"/>
  <c r="W36" i="43" s="1"/>
  <c r="V36" i="43"/>
  <c r="AA3" i="42"/>
  <c r="Z9" i="42"/>
  <c r="R9" i="42"/>
  <c r="T9" i="42" s="1"/>
  <c r="AA9" i="42" s="1"/>
  <c r="Z15" i="42"/>
  <c r="R15" i="42"/>
  <c r="T15" i="42" s="1"/>
  <c r="AA15" i="42" s="1"/>
  <c r="Z20" i="42"/>
  <c r="R20" i="42"/>
  <c r="Y20" i="42" s="1"/>
  <c r="Z21" i="42"/>
  <c r="R21" i="42"/>
  <c r="T21" i="42" s="1"/>
  <c r="AA21" i="42" s="1"/>
  <c r="Z26" i="42"/>
  <c r="R16" i="41"/>
  <c r="Z16" i="41"/>
  <c r="Z17" i="41"/>
  <c r="R17" i="41"/>
  <c r="Z4" i="40"/>
  <c r="R26" i="40"/>
  <c r="T26" i="40" s="1"/>
  <c r="AA26" i="40" s="1"/>
  <c r="Z26" i="40"/>
  <c r="Z5" i="33"/>
  <c r="Y7" i="33"/>
  <c r="Z28" i="33"/>
  <c r="R28" i="33"/>
  <c r="Y28" i="33" s="1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1"/>
  <c r="Z10" i="48"/>
  <c r="AA28" i="47"/>
  <c r="Z24" i="43"/>
  <c r="Z30" i="43"/>
  <c r="Z31" i="43"/>
  <c r="R31" i="43"/>
  <c r="T31" i="43" s="1"/>
  <c r="AA31" i="43" s="1"/>
  <c r="V36" i="40"/>
  <c r="Z13" i="40"/>
  <c r="R13" i="40"/>
  <c r="T13" i="40" s="1"/>
  <c r="AA13" i="40" s="1"/>
  <c r="Z17" i="39"/>
  <c r="R17" i="39"/>
  <c r="Y17" i="39" s="1"/>
  <c r="Z22" i="39"/>
  <c r="Z23" i="39"/>
  <c r="R23" i="39"/>
  <c r="Y23" i="39" s="1"/>
  <c r="Z4" i="38"/>
  <c r="Z24" i="38"/>
  <c r="Z25" i="38"/>
  <c r="R25" i="38"/>
  <c r="Y25" i="38" s="1"/>
  <c r="AA10" i="37"/>
  <c r="Z17" i="34"/>
  <c r="R17" i="34"/>
  <c r="Y17" i="34" s="1"/>
  <c r="AA24" i="34"/>
  <c r="Z10" i="31"/>
  <c r="Z18" i="31"/>
  <c r="AA30" i="61"/>
  <c r="Y28" i="31"/>
  <c r="AA4" i="30"/>
  <c r="AA16" i="42"/>
  <c r="Y28" i="52"/>
  <c r="AA21" i="49"/>
  <c r="X24" i="29"/>
  <c r="AA18" i="57"/>
  <c r="Y18" i="31"/>
  <c r="AA26" i="37"/>
  <c r="Y22" i="40"/>
  <c r="AA26" i="51"/>
  <c r="Y4" i="56"/>
  <c r="Y29" i="57"/>
  <c r="AA23" i="52"/>
  <c r="AA5" i="50"/>
  <c r="Y21" i="47"/>
  <c r="AA15" i="34"/>
  <c r="Y3" i="34"/>
  <c r="AA13" i="31"/>
  <c r="I42" i="21"/>
  <c r="C55" i="3"/>
  <c r="D13" i="23"/>
  <c r="D13" i="24" s="1"/>
  <c r="AB13" i="23"/>
  <c r="AB13" i="24" s="1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Y17" i="45" s="1"/>
  <c r="Z33" i="45"/>
  <c r="R33" i="45"/>
  <c r="Y33" i="45" s="1"/>
  <c r="L44" i="45"/>
  <c r="Z12" i="44"/>
  <c r="Y3" i="43"/>
  <c r="Z8" i="43"/>
  <c r="Z29" i="43"/>
  <c r="Z4" i="42"/>
  <c r="Z31" i="41"/>
  <c r="Z24" i="40"/>
  <c r="Z21" i="39"/>
  <c r="Y3" i="38"/>
  <c r="Z14" i="38"/>
  <c r="Z29" i="38"/>
  <c r="Z3" i="37"/>
  <c r="Z20" i="37"/>
  <c r="Z11" i="36"/>
  <c r="Z11" i="35"/>
  <c r="AA22" i="35"/>
  <c r="Z15" i="34"/>
  <c r="AA22" i="34"/>
  <c r="Z23" i="34"/>
  <c r="Z7" i="33"/>
  <c r="Z13" i="33"/>
  <c r="Z26" i="33"/>
  <c r="Z12" i="32"/>
  <c r="Z13" i="32"/>
  <c r="Z19" i="32"/>
  <c r="Z3" i="31"/>
  <c r="Z17" i="31"/>
  <c r="R17" i="31"/>
  <c r="Z4" i="30"/>
  <c r="Z12" i="30"/>
  <c r="Z14" i="30"/>
  <c r="AA29" i="58"/>
  <c r="AA7" i="58"/>
  <c r="Y3" i="57"/>
  <c r="AA13" i="56"/>
  <c r="Y19" i="51"/>
  <c r="Y21" i="49"/>
  <c r="Y27" i="41"/>
  <c r="AA23" i="40"/>
  <c r="AA17" i="40"/>
  <c r="AA5" i="31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AA24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Z6" i="43"/>
  <c r="Z12" i="43"/>
  <c r="Z19" i="43"/>
  <c r="Z32" i="43"/>
  <c r="Z33" i="43"/>
  <c r="Z16" i="42"/>
  <c r="Z22" i="42"/>
  <c r="Z12" i="41"/>
  <c r="Z13" i="41"/>
  <c r="Z18" i="41"/>
  <c r="Z19" i="41"/>
  <c r="Z21" i="41"/>
  <c r="Z25" i="41"/>
  <c r="Z33" i="41"/>
  <c r="Z16" i="40"/>
  <c r="Z17" i="40"/>
  <c r="Z22" i="40"/>
  <c r="Z23" i="40"/>
  <c r="Z28" i="40"/>
  <c r="Z29" i="40"/>
  <c r="Z4" i="39"/>
  <c r="Z5" i="39"/>
  <c r="Z25" i="39"/>
  <c r="Z6" i="38"/>
  <c r="Z7" i="38"/>
  <c r="Z12" i="38"/>
  <c r="Z19" i="38"/>
  <c r="Z32" i="38"/>
  <c r="Z33" i="38"/>
  <c r="Z6" i="37"/>
  <c r="Z12" i="37"/>
  <c r="Z13" i="37"/>
  <c r="Z19" i="37"/>
  <c r="Z33" i="37"/>
  <c r="Z12" i="36"/>
  <c r="Z13" i="36"/>
  <c r="Z32" i="36"/>
  <c r="Z6" i="35"/>
  <c r="Z7" i="35"/>
  <c r="Z13" i="35"/>
  <c r="Z20" i="35"/>
  <c r="Z21" i="35"/>
  <c r="Z29" i="35"/>
  <c r="Z11" i="34"/>
  <c r="Z18" i="34"/>
  <c r="Z19" i="34"/>
  <c r="Z26" i="34"/>
  <c r="Z27" i="34"/>
  <c r="Z9" i="33"/>
  <c r="Z17" i="33"/>
  <c r="Z25" i="33"/>
  <c r="Z33" i="33"/>
  <c r="AA6" i="32"/>
  <c r="Z7" i="32"/>
  <c r="Z14" i="32"/>
  <c r="Z15" i="32"/>
  <c r="AA22" i="32"/>
  <c r="Z23" i="32"/>
  <c r="Z31" i="32"/>
  <c r="Z4" i="31"/>
  <c r="Z5" i="31"/>
  <c r="Z13" i="31"/>
  <c r="Z20" i="31"/>
  <c r="Z21" i="31"/>
  <c r="Z28" i="31"/>
  <c r="Z29" i="31"/>
  <c r="Z11" i="30"/>
  <c r="Z27" i="30"/>
  <c r="V34" i="29"/>
  <c r="X26" i="29"/>
  <c r="W10" i="29"/>
  <c r="Z31" i="64"/>
  <c r="R31" i="64"/>
  <c r="T31" i="64" s="1"/>
  <c r="AA31" i="64" s="1"/>
  <c r="W36" i="61"/>
  <c r="L45" i="64"/>
  <c r="L44" i="64"/>
  <c r="AA7" i="61"/>
  <c r="Z12" i="61"/>
  <c r="Z14" i="61"/>
  <c r="Z16" i="61"/>
  <c r="Z20" i="61"/>
  <c r="Z22" i="61"/>
  <c r="Z24" i="61"/>
  <c r="Z26" i="61"/>
  <c r="Z28" i="61"/>
  <c r="Z30" i="61"/>
  <c r="AM3" i="63"/>
  <c r="AN3" i="63" s="1"/>
  <c r="AJ4" i="63"/>
  <c r="L45" i="63"/>
  <c r="L44" i="63"/>
  <c r="Z6" i="61"/>
  <c r="Z10" i="61"/>
  <c r="Z11" i="61"/>
  <c r="Z31" i="61"/>
  <c r="Z6" i="62"/>
  <c r="Z11" i="62"/>
  <c r="Z15" i="62"/>
  <c r="Z36" i="62" s="1"/>
  <c r="Z19" i="62"/>
  <c r="Z23" i="62"/>
  <c r="Z27" i="62"/>
  <c r="Z31" i="62"/>
  <c r="Z7" i="63"/>
  <c r="Z15" i="63"/>
  <c r="Z8" i="64"/>
  <c r="Z16" i="64"/>
  <c r="AA17" i="61"/>
  <c r="V36" i="63"/>
  <c r="W3" i="63"/>
  <c r="Z11" i="63"/>
  <c r="W36" i="64"/>
  <c r="Z4" i="64"/>
  <c r="Z12" i="64"/>
  <c r="Z6" i="63"/>
  <c r="Z8" i="63"/>
  <c r="Z10" i="63"/>
  <c r="Z12" i="63"/>
  <c r="Z14" i="63"/>
  <c r="Z16" i="63"/>
  <c r="Z18" i="63"/>
  <c r="Z20" i="63"/>
  <c r="Z22" i="63"/>
  <c r="Z24" i="63"/>
  <c r="Z26" i="63"/>
  <c r="Z28" i="63"/>
  <c r="Z30" i="63"/>
  <c r="Z32" i="63"/>
  <c r="V36" i="64"/>
  <c r="Z21" i="64"/>
  <c r="Z23" i="64"/>
  <c r="Z25" i="64"/>
  <c r="Z29" i="64"/>
  <c r="T8" i="55"/>
  <c r="AA8" i="55" s="1"/>
  <c r="Y8" i="55"/>
  <c r="T22" i="51"/>
  <c r="AA22" i="51" s="1"/>
  <c r="Y22" i="51"/>
  <c r="T22" i="50"/>
  <c r="AA22" i="50" s="1"/>
  <c r="Y22" i="50"/>
  <c r="Y30" i="35"/>
  <c r="T30" i="35"/>
  <c r="AA30" i="35" s="1"/>
  <c r="T15" i="31"/>
  <c r="AA15" i="31" s="1"/>
  <c r="Y15" i="31"/>
  <c r="T22" i="31"/>
  <c r="AA22" i="31" s="1"/>
  <c r="Y22" i="31"/>
  <c r="T19" i="53"/>
  <c r="AA19" i="53" s="1"/>
  <c r="R30" i="48"/>
  <c r="R12" i="34"/>
  <c r="Y12" i="34" s="1"/>
  <c r="R4" i="54"/>
  <c r="Z30" i="35"/>
  <c r="Z14" i="52"/>
  <c r="Z6" i="48"/>
  <c r="AM40" i="24"/>
  <c r="T24" i="59"/>
  <c r="AA24" i="59" s="1"/>
  <c r="Y26" i="53"/>
  <c r="Y24" i="32"/>
  <c r="Y14" i="52"/>
  <c r="R27" i="59"/>
  <c r="Y27" i="59" s="1"/>
  <c r="R31" i="57"/>
  <c r="R7" i="55"/>
  <c r="T7" i="55" s="1"/>
  <c r="AA7" i="55" s="1"/>
  <c r="R3" i="54"/>
  <c r="T3" i="54" s="1"/>
  <c r="AA3" i="54" s="1"/>
  <c r="R31" i="52"/>
  <c r="Y31" i="52" s="1"/>
  <c r="R7" i="52"/>
  <c r="R31" i="50"/>
  <c r="T31" i="50" s="1"/>
  <c r="AA31" i="50" s="1"/>
  <c r="R25" i="47"/>
  <c r="R21" i="43"/>
  <c r="Y21" i="43" s="1"/>
  <c r="R5" i="34"/>
  <c r="Y5" i="34" s="1"/>
  <c r="R9" i="30"/>
  <c r="Y9" i="30" s="1"/>
  <c r="AM12" i="24"/>
  <c r="AC12" i="23"/>
  <c r="AC12" i="24" s="1"/>
  <c r="N36" i="23"/>
  <c r="N36" i="24" s="1"/>
  <c r="E36" i="23"/>
  <c r="E36" i="24" s="1"/>
  <c r="R4" i="63"/>
  <c r="T4" i="63" s="1"/>
  <c r="AA4" i="63" s="1"/>
  <c r="AH35" i="23"/>
  <c r="AH35" i="24" s="1"/>
  <c r="AH11" i="23"/>
  <c r="D39" i="23"/>
  <c r="D39" i="24" s="1"/>
  <c r="T29" i="55"/>
  <c r="AA29" i="55" s="1"/>
  <c r="Y3" i="42"/>
  <c r="Y23" i="52"/>
  <c r="Y8" i="38"/>
  <c r="Y16" i="44"/>
  <c r="T20" i="30"/>
  <c r="AA20" i="30" s="1"/>
  <c r="AF39" i="23"/>
  <c r="AF39" i="24" s="1"/>
  <c r="G39" i="23"/>
  <c r="G39" i="24" s="1"/>
  <c r="F39" i="23"/>
  <c r="F39" i="24" s="1"/>
  <c r="L40" i="23"/>
  <c r="L40" i="24" s="1"/>
  <c r="P39" i="23"/>
  <c r="P39" i="24" s="1"/>
  <c r="S39" i="23"/>
  <c r="S39" i="24" s="1"/>
  <c r="W39" i="23"/>
  <c r="W39" i="24" s="1"/>
  <c r="D31" i="23"/>
  <c r="D31" i="24" s="1"/>
  <c r="U24" i="23"/>
  <c r="U24" i="24" s="1"/>
  <c r="R32" i="61"/>
  <c r="T17" i="39"/>
  <c r="AA17" i="39" s="1"/>
  <c r="R26" i="39"/>
  <c r="Y26" i="39" s="1"/>
  <c r="R14" i="41"/>
  <c r="Y14" i="41" s="1"/>
  <c r="R33" i="61"/>
  <c r="Y33" i="61" s="1"/>
  <c r="R16" i="43"/>
  <c r="T16" i="43" s="1"/>
  <c r="AA16" i="43" s="1"/>
  <c r="R18" i="47"/>
  <c r="Y18" i="47" s="1"/>
  <c r="R24" i="58"/>
  <c r="R32" i="42"/>
  <c r="R32" i="44"/>
  <c r="Y15" i="62"/>
  <c r="O33" i="29"/>
  <c r="V33" i="29" s="1"/>
  <c r="W34" i="29"/>
  <c r="Z22" i="34"/>
  <c r="Z30" i="49"/>
  <c r="Z14" i="50"/>
  <c r="Z30" i="52"/>
  <c r="R12" i="53"/>
  <c r="R28" i="55"/>
  <c r="R16" i="56"/>
  <c r="T16" i="56" s="1"/>
  <c r="AA16" i="56" s="1"/>
  <c r="Z24" i="59"/>
  <c r="Z27" i="60"/>
  <c r="Z23" i="59"/>
  <c r="AM36" i="24"/>
  <c r="O11" i="23"/>
  <c r="T27" i="51"/>
  <c r="T8" i="59"/>
  <c r="AA8" i="59" s="1"/>
  <c r="Z22" i="49"/>
  <c r="Z6" i="50"/>
  <c r="Z6" i="52"/>
  <c r="Z6" i="54"/>
  <c r="Y28" i="36"/>
  <c r="T30" i="57"/>
  <c r="AA30" i="57" s="1"/>
  <c r="T12" i="43"/>
  <c r="AA12" i="43" s="1"/>
  <c r="Y26" i="54"/>
  <c r="Y6" i="38"/>
  <c r="R18" i="32"/>
  <c r="Z8" i="30"/>
  <c r="Z8" i="31"/>
  <c r="Y22" i="34"/>
  <c r="R14" i="37"/>
  <c r="T14" i="37" s="1"/>
  <c r="AA14" i="37" s="1"/>
  <c r="R14" i="38"/>
  <c r="T14" i="38" s="1"/>
  <c r="AA14" i="38" s="1"/>
  <c r="R12" i="40"/>
  <c r="Y12" i="40" s="1"/>
  <c r="V26" i="29"/>
  <c r="R30" i="42"/>
  <c r="R14" i="43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Y8" i="52"/>
  <c r="T15" i="60"/>
  <c r="AA15" i="60" s="1"/>
  <c r="Y17" i="35"/>
  <c r="Y17" i="40"/>
  <c r="Y23" i="34"/>
  <c r="Y11" i="60"/>
  <c r="R28" i="59"/>
  <c r="R10" i="59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R29" i="43"/>
  <c r="Y29" i="43" s="1"/>
  <c r="R17" i="43"/>
  <c r="R19" i="39"/>
  <c r="Y19" i="39" s="1"/>
  <c r="Z3" i="38"/>
  <c r="R9" i="37"/>
  <c r="R21" i="36"/>
  <c r="Y21" i="36" s="1"/>
  <c r="R15" i="35"/>
  <c r="T15" i="35" s="1"/>
  <c r="AA15" i="35" s="1"/>
  <c r="R19" i="32"/>
  <c r="Y19" i="32" s="1"/>
  <c r="R11" i="23"/>
  <c r="J11" i="23"/>
  <c r="J11" i="24" s="1"/>
  <c r="Z11" i="23"/>
  <c r="Z11" i="24" s="1"/>
  <c r="AB28" i="23"/>
  <c r="AB28" i="24" s="1"/>
  <c r="T11" i="23"/>
  <c r="I11" i="23"/>
  <c r="I11" i="24" s="1"/>
  <c r="AM24" i="24"/>
  <c r="AD15" i="23"/>
  <c r="AD15" i="24" s="1"/>
  <c r="AD44" i="24" s="1"/>
  <c r="G83" i="27" s="1"/>
  <c r="F83" i="27" s="1"/>
  <c r="B11" i="23"/>
  <c r="AF12" i="23"/>
  <c r="AF12" i="24" s="1"/>
  <c r="C19" i="23"/>
  <c r="C19" i="24" s="1"/>
  <c r="O19" i="23"/>
  <c r="O19" i="24" s="1"/>
  <c r="N19" i="23"/>
  <c r="N19" i="24" s="1"/>
  <c r="AC36" i="23"/>
  <c r="AC36" i="24" s="1"/>
  <c r="AB27" i="23"/>
  <c r="AB27" i="24" s="1"/>
  <c r="Z28" i="23"/>
  <c r="Z28" i="24" s="1"/>
  <c r="X27" i="23"/>
  <c r="X27" i="24" s="1"/>
  <c r="V36" i="23"/>
  <c r="V36" i="24" s="1"/>
  <c r="T31" i="23"/>
  <c r="T31" i="24" s="1"/>
  <c r="R36" i="23"/>
  <c r="R36" i="24" s="1"/>
  <c r="D28" i="23"/>
  <c r="D28" i="24" s="1"/>
  <c r="Z28" i="32"/>
  <c r="Z15" i="31"/>
  <c r="R16" i="31"/>
  <c r="Z19" i="31"/>
  <c r="R19" i="64"/>
  <c r="T19" i="64" s="1"/>
  <c r="AA19" i="64" s="1"/>
  <c r="AH40" i="23"/>
  <c r="AH40" i="24" s="1"/>
  <c r="T9" i="47"/>
  <c r="AA9" i="47" s="1"/>
  <c r="Y8" i="44"/>
  <c r="R28" i="54"/>
  <c r="Y28" i="54" s="1"/>
  <c r="R26" i="44"/>
  <c r="T26" i="44" s="1"/>
  <c r="AA26" i="44" s="1"/>
  <c r="T6" i="45"/>
  <c r="AA6" i="45" s="1"/>
  <c r="T18" i="30"/>
  <c r="R28" i="51"/>
  <c r="Z22" i="59"/>
  <c r="AN35" i="23"/>
  <c r="Z24" i="32"/>
  <c r="T32" i="30"/>
  <c r="AA32" i="30" s="1"/>
  <c r="Z24" i="47"/>
  <c r="Y30" i="50"/>
  <c r="R14" i="57"/>
  <c r="R26" i="59"/>
  <c r="T26" i="59" s="1"/>
  <c r="AA26" i="59" s="1"/>
  <c r="R7" i="44"/>
  <c r="Y7" i="44" s="1"/>
  <c r="R5" i="42"/>
  <c r="R21" i="37"/>
  <c r="R19" i="33"/>
  <c r="C32" i="23"/>
  <c r="C32" i="24" s="1"/>
  <c r="AC28" i="23"/>
  <c r="AC28" i="24" s="1"/>
  <c r="Q40" i="23"/>
  <c r="Q40" i="24" s="1"/>
  <c r="K36" i="23"/>
  <c r="K36" i="24" s="1"/>
  <c r="S36" i="63"/>
  <c r="AG39" i="23"/>
  <c r="AG39" i="24" s="1"/>
  <c r="AG19" i="23"/>
  <c r="AG19" i="24" s="1"/>
  <c r="AH39" i="23"/>
  <c r="AH39" i="24" s="1"/>
  <c r="AH15" i="23"/>
  <c r="AH15" i="24" s="1"/>
  <c r="R30" i="51"/>
  <c r="Y30" i="51" s="1"/>
  <c r="T23" i="57"/>
  <c r="AA23" i="57" s="1"/>
  <c r="Y24" i="43"/>
  <c r="Y4" i="34"/>
  <c r="F40" i="23"/>
  <c r="F40" i="24" s="1"/>
  <c r="H39" i="23"/>
  <c r="H39" i="24" s="1"/>
  <c r="AM39" i="24"/>
  <c r="R39" i="23"/>
  <c r="R39" i="24" s="1"/>
  <c r="Y40" i="23"/>
  <c r="Y40" i="24" s="1"/>
  <c r="Y17" i="61"/>
  <c r="R30" i="53"/>
  <c r="Y30" i="53" s="1"/>
  <c r="R24" i="30"/>
  <c r="T24" i="30" s="1"/>
  <c r="AA24" i="30" s="1"/>
  <c r="R8" i="57"/>
  <c r="T8" i="57" s="1"/>
  <c r="AA8" i="57" s="1"/>
  <c r="R8" i="43"/>
  <c r="T33" i="38"/>
  <c r="AA33" i="38" s="1"/>
  <c r="T13" i="57"/>
  <c r="AA13" i="57" s="1"/>
  <c r="V35" i="29"/>
  <c r="T14" i="35"/>
  <c r="AA14" i="35" s="1"/>
  <c r="T10" i="57"/>
  <c r="AA10" i="57" s="1"/>
  <c r="W6" i="29"/>
  <c r="R14" i="34"/>
  <c r="T14" i="34" s="1"/>
  <c r="AA14" i="34" s="1"/>
  <c r="R10" i="31"/>
  <c r="T10" i="31" s="1"/>
  <c r="AA10" i="31" s="1"/>
  <c r="Z30" i="50"/>
  <c r="R28" i="53"/>
  <c r="Z14" i="54"/>
  <c r="R32" i="58"/>
  <c r="Z15" i="60"/>
  <c r="K11" i="23"/>
  <c r="AE39" i="23"/>
  <c r="AE39" i="24" s="1"/>
  <c r="T4" i="43"/>
  <c r="AA4" i="43" s="1"/>
  <c r="T28" i="43"/>
  <c r="AA28" i="43" s="1"/>
  <c r="Y26" i="49"/>
  <c r="T20" i="39"/>
  <c r="AA20" i="39" s="1"/>
  <c r="R26" i="32"/>
  <c r="R18" i="33"/>
  <c r="T18" i="33" s="1"/>
  <c r="AA18" i="33" s="1"/>
  <c r="R14" i="36"/>
  <c r="R20" i="37"/>
  <c r="T20" i="37" s="1"/>
  <c r="AA20" i="37" s="1"/>
  <c r="R6" i="39"/>
  <c r="R26" i="55"/>
  <c r="Y26" i="55" s="1"/>
  <c r="R4" i="42"/>
  <c r="R20" i="43"/>
  <c r="Z8" i="47"/>
  <c r="Y30" i="49"/>
  <c r="Z16" i="50"/>
  <c r="Y30" i="52"/>
  <c r="T16" i="50"/>
  <c r="AA16" i="50" s="1"/>
  <c r="Z16" i="55"/>
  <c r="R14" i="56"/>
  <c r="R22" i="57"/>
  <c r="R6" i="57"/>
  <c r="T6" i="57" s="1"/>
  <c r="AA6" i="57" s="1"/>
  <c r="R19" i="59"/>
  <c r="Y19" i="59" s="1"/>
  <c r="Y16" i="48"/>
  <c r="Y21" i="42"/>
  <c r="Y5" i="50"/>
  <c r="Y13" i="56"/>
  <c r="Y32" i="59"/>
  <c r="Y31" i="53"/>
  <c r="Y29" i="31"/>
  <c r="Y19" i="60"/>
  <c r="R30" i="59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T19" i="55"/>
  <c r="AA19" i="55" s="1"/>
  <c r="R15" i="54"/>
  <c r="R23" i="53"/>
  <c r="Y23" i="53" s="1"/>
  <c r="R15" i="52"/>
  <c r="T15" i="52" s="1"/>
  <c r="AA15" i="52" s="1"/>
  <c r="R5" i="51"/>
  <c r="R33" i="50"/>
  <c r="R9" i="50"/>
  <c r="R25" i="48"/>
  <c r="R27" i="47"/>
  <c r="T27" i="47" s="1"/>
  <c r="AA27" i="47" s="1"/>
  <c r="R31" i="45"/>
  <c r="R9" i="44"/>
  <c r="R9" i="43"/>
  <c r="T9" i="43" s="1"/>
  <c r="AA9" i="43" s="1"/>
  <c r="R9" i="41"/>
  <c r="Y9" i="41" s="1"/>
  <c r="R19" i="40"/>
  <c r="R7" i="39"/>
  <c r="R27" i="38"/>
  <c r="R29" i="37"/>
  <c r="T29" i="37" s="1"/>
  <c r="AA29" i="37" s="1"/>
  <c r="R23" i="37"/>
  <c r="Y23" i="37" s="1"/>
  <c r="R27" i="36"/>
  <c r="R31" i="35"/>
  <c r="Y31" i="35" s="1"/>
  <c r="R21" i="34"/>
  <c r="Y21" i="34" s="1"/>
  <c r="R13" i="34"/>
  <c r="R5" i="33"/>
  <c r="Y5" i="33" s="1"/>
  <c r="R27" i="32"/>
  <c r="Y27" i="32" s="1"/>
  <c r="R9" i="32"/>
  <c r="Y9" i="32" s="1"/>
  <c r="R27" i="31"/>
  <c r="R23" i="31"/>
  <c r="R11" i="31"/>
  <c r="T11" i="31" s="1"/>
  <c r="AA11" i="31" s="1"/>
  <c r="R11" i="30"/>
  <c r="Y11" i="30" s="1"/>
  <c r="L11" i="23"/>
  <c r="D11" i="23"/>
  <c r="M28" i="23"/>
  <c r="M28" i="24" s="1"/>
  <c r="U32" i="23"/>
  <c r="U32" i="24" s="1"/>
  <c r="M11" i="23"/>
  <c r="AD19" i="23"/>
  <c r="AD19" i="24" s="1"/>
  <c r="AE11" i="23"/>
  <c r="AE11" i="24" s="1"/>
  <c r="AC11" i="23"/>
  <c r="W11" i="23"/>
  <c r="W11" i="24" s="1"/>
  <c r="B19" i="23"/>
  <c r="M19" i="23"/>
  <c r="M19" i="24" s="1"/>
  <c r="AB32" i="23"/>
  <c r="AB32" i="24" s="1"/>
  <c r="Y15" i="23"/>
  <c r="Y15" i="24" s="1"/>
  <c r="X11" i="23"/>
  <c r="X42" i="23" s="1"/>
  <c r="W15" i="23"/>
  <c r="W15" i="24" s="1"/>
  <c r="U28" i="23"/>
  <c r="U28" i="24" s="1"/>
  <c r="R23" i="23"/>
  <c r="R23" i="24" s="1"/>
  <c r="P36" i="23"/>
  <c r="P36" i="24" s="1"/>
  <c r="G36" i="23"/>
  <c r="G36" i="24" s="1"/>
  <c r="C23" i="23"/>
  <c r="C23" i="24" s="1"/>
  <c r="AE14" i="23"/>
  <c r="AE14" i="24" s="1"/>
  <c r="R16" i="57"/>
  <c r="AH45" i="21"/>
  <c r="I87" i="26" s="1"/>
  <c r="R12" i="64"/>
  <c r="T12" i="64" s="1"/>
  <c r="C40" i="23"/>
  <c r="C40" i="24" s="1"/>
  <c r="F36" i="23"/>
  <c r="F36" i="24" s="1"/>
  <c r="O32" i="23"/>
  <c r="O32" i="24" s="1"/>
  <c r="R28" i="23"/>
  <c r="R28" i="24" s="1"/>
  <c r="W24" i="23"/>
  <c r="W24" i="24" s="1"/>
  <c r="U20" i="23"/>
  <c r="U20" i="24" s="1"/>
  <c r="U16" i="23"/>
  <c r="U16" i="24" s="1"/>
  <c r="T3" i="57"/>
  <c r="AA3" i="57" s="1"/>
  <c r="S36" i="50"/>
  <c r="Z28" i="47"/>
  <c r="W27" i="29"/>
  <c r="W19" i="29"/>
  <c r="Q32" i="29"/>
  <c r="X32" i="29" s="1"/>
  <c r="R25" i="64"/>
  <c r="T25" i="64" s="1"/>
  <c r="R32" i="64"/>
  <c r="T32" i="64" s="1"/>
  <c r="AJ26" i="23"/>
  <c r="AJ26" i="24" s="1"/>
  <c r="Y10" i="55"/>
  <c r="T10" i="55"/>
  <c r="AA10" i="55" s="1"/>
  <c r="Y27" i="49"/>
  <c r="T27" i="49"/>
  <c r="AA27" i="49" s="1"/>
  <c r="T30" i="33"/>
  <c r="AA30" i="33" s="1"/>
  <c r="Y30" i="33"/>
  <c r="Y13" i="49"/>
  <c r="T13" i="49"/>
  <c r="AA13" i="49" s="1"/>
  <c r="Y3" i="41"/>
  <c r="T3" i="41"/>
  <c r="AA3" i="41" s="1"/>
  <c r="T20" i="41"/>
  <c r="AA20" i="41" s="1"/>
  <c r="Y20" i="41"/>
  <c r="Y16" i="33"/>
  <c r="T16" i="33"/>
  <c r="AA16" i="33" s="1"/>
  <c r="V30" i="29"/>
  <c r="Q30" i="29"/>
  <c r="X30" i="29" s="1"/>
  <c r="Q6" i="29"/>
  <c r="X6" i="29" s="1"/>
  <c r="V6" i="29"/>
  <c r="Y32" i="54"/>
  <c r="T32" i="54"/>
  <c r="AA32" i="54" s="1"/>
  <c r="T18" i="49"/>
  <c r="AA18" i="49" s="1"/>
  <c r="Y18" i="49"/>
  <c r="T22" i="33"/>
  <c r="AA22" i="33" s="1"/>
  <c r="Y22" i="33"/>
  <c r="V13" i="29"/>
  <c r="Y8" i="60"/>
  <c r="T8" i="60"/>
  <c r="AA8" i="60" s="1"/>
  <c r="T23" i="50"/>
  <c r="AA23" i="50" s="1"/>
  <c r="Y23" i="50"/>
  <c r="T23" i="49"/>
  <c r="AA23" i="49" s="1"/>
  <c r="Y23" i="49"/>
  <c r="Y3" i="40"/>
  <c r="T3" i="40"/>
  <c r="AA3" i="40" s="1"/>
  <c r="T28" i="34"/>
  <c r="AA28" i="34" s="1"/>
  <c r="Y28" i="34"/>
  <c r="Y24" i="50"/>
  <c r="T24" i="50"/>
  <c r="AA24" i="50" s="1"/>
  <c r="T24" i="49"/>
  <c r="AA24" i="49" s="1"/>
  <c r="Y24" i="49"/>
  <c r="T33" i="40"/>
  <c r="AA33" i="40" s="1"/>
  <c r="Y33" i="40"/>
  <c r="T16" i="35"/>
  <c r="AA16" i="35" s="1"/>
  <c r="Y16" i="35"/>
  <c r="T23" i="37"/>
  <c r="AA23" i="37" s="1"/>
  <c r="Y22" i="61"/>
  <c r="R32" i="57"/>
  <c r="Y11" i="62"/>
  <c r="Y4" i="62"/>
  <c r="Y1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6" i="46"/>
  <c r="AA6" i="46" s="1"/>
  <c r="Y14" i="31"/>
  <c r="T22" i="55"/>
  <c r="AA22" i="55" s="1"/>
  <c r="T22" i="52"/>
  <c r="AA22" i="52" s="1"/>
  <c r="T6" i="47"/>
  <c r="AA6" i="47" s="1"/>
  <c r="O25" i="29"/>
  <c r="V25" i="29" s="1"/>
  <c r="Z30" i="33"/>
  <c r="W21" i="29"/>
  <c r="Z22" i="32"/>
  <c r="Z22" i="33"/>
  <c r="Y10" i="35"/>
  <c r="Z14" i="47"/>
  <c r="R7" i="60"/>
  <c r="T7" i="60" s="1"/>
  <c r="AA7" i="60" s="1"/>
  <c r="AM33" i="24"/>
  <c r="T19" i="59"/>
  <c r="AA19" i="59" s="1"/>
  <c r="T6" i="40"/>
  <c r="AA6" i="40" s="1"/>
  <c r="Y20" i="37"/>
  <c r="T26" i="33"/>
  <c r="AA26" i="33" s="1"/>
  <c r="Y6" i="32"/>
  <c r="Z16" i="33"/>
  <c r="Z8" i="34"/>
  <c r="R22" i="37"/>
  <c r="R18" i="54"/>
  <c r="R22" i="42"/>
  <c r="T22" i="42" s="1"/>
  <c r="AA22" i="42" s="1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R33" i="43"/>
  <c r="Y33" i="43" s="1"/>
  <c r="R19" i="43"/>
  <c r="Y19" i="43" s="1"/>
  <c r="R29" i="41"/>
  <c r="Y29" i="41" s="1"/>
  <c r="T21" i="41"/>
  <c r="AA21" i="41" s="1"/>
  <c r="R19" i="41"/>
  <c r="R31" i="40"/>
  <c r="Z3" i="40"/>
  <c r="R3" i="36"/>
  <c r="R3" i="35"/>
  <c r="R17" i="33"/>
  <c r="R13" i="33"/>
  <c r="R3" i="33"/>
  <c r="R15" i="32"/>
  <c r="R33" i="30"/>
  <c r="AD25" i="23"/>
  <c r="AF17" i="23"/>
  <c r="AF17" i="24" s="1"/>
  <c r="O25" i="23"/>
  <c r="M21" i="23"/>
  <c r="M21" i="24" s="1"/>
  <c r="AD33" i="23"/>
  <c r="AD33" i="24" s="1"/>
  <c r="AM49" i="23"/>
  <c r="AM42" i="23"/>
  <c r="AK12" i="21"/>
  <c r="AK16" i="21"/>
  <c r="X29" i="23"/>
  <c r="X29" i="24" s="1"/>
  <c r="W29" i="23"/>
  <c r="W29" i="24" s="1"/>
  <c r="T29" i="23"/>
  <c r="T29" i="24" s="1"/>
  <c r="I33" i="23"/>
  <c r="I33" i="24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Z33" i="40"/>
  <c r="Z28" i="34"/>
  <c r="Z15" i="33"/>
  <c r="Z20" i="33"/>
  <c r="O10" i="29"/>
  <c r="R21" i="64"/>
  <c r="T21" i="64" s="1"/>
  <c r="AA21" i="64" s="1"/>
  <c r="R28" i="64"/>
  <c r="T28" i="64" s="1"/>
  <c r="AJ30" i="23"/>
  <c r="AJ30" i="24" s="1"/>
  <c r="AJ14" i="23"/>
  <c r="AJ14" i="24" s="1"/>
  <c r="T13" i="36"/>
  <c r="AA13" i="36" s="1"/>
  <c r="AN34" i="23"/>
  <c r="AQ34" i="23" s="1"/>
  <c r="Z10" i="37"/>
  <c r="T27" i="30"/>
  <c r="AA27" i="30" s="1"/>
  <c r="Y7" i="45"/>
  <c r="Y30" i="61"/>
  <c r="T18" i="39"/>
  <c r="AA18" i="39" s="1"/>
  <c r="T14" i="61"/>
  <c r="AA14" i="61" s="1"/>
  <c r="T12" i="34"/>
  <c r="AA12" i="34" s="1"/>
  <c r="Y24" i="36"/>
  <c r="T28" i="30"/>
  <c r="AA28" i="30" s="1"/>
  <c r="Y10" i="47"/>
  <c r="Z17" i="61"/>
  <c r="R14" i="45"/>
  <c r="R13" i="61"/>
  <c r="R18" i="56"/>
  <c r="T21" i="30"/>
  <c r="AA21" i="30" s="1"/>
  <c r="T25" i="34"/>
  <c r="AA25" i="34" s="1"/>
  <c r="R18" i="40"/>
  <c r="R20" i="48"/>
  <c r="R20" i="55"/>
  <c r="Y9" i="62"/>
  <c r="Y25" i="62"/>
  <c r="Y12" i="62"/>
  <c r="S36" i="62"/>
  <c r="V7" i="29"/>
  <c r="Y18" i="57"/>
  <c r="S36" i="33"/>
  <c r="R22" i="41"/>
  <c r="Y22" i="41" s="1"/>
  <c r="R22" i="45"/>
  <c r="Y22" i="45" s="1"/>
  <c r="R22" i="47"/>
  <c r="Y22" i="47" s="1"/>
  <c r="R12" i="48"/>
  <c r="S36" i="54"/>
  <c r="B33" i="23"/>
  <c r="T12" i="38"/>
  <c r="AA12" i="38" s="1"/>
  <c r="T30" i="44"/>
  <c r="AA30" i="44" s="1"/>
  <c r="Y18" i="51"/>
  <c r="T26" i="47"/>
  <c r="AA26" i="47" s="1"/>
  <c r="R10" i="33"/>
  <c r="T10" i="33" s="1"/>
  <c r="AA10" i="33" s="1"/>
  <c r="Z32" i="30"/>
  <c r="Y22" i="32"/>
  <c r="R22" i="38"/>
  <c r="Y8" i="30"/>
  <c r="Y24" i="34"/>
  <c r="R10" i="46"/>
  <c r="R10" i="52"/>
  <c r="R12" i="44"/>
  <c r="Y12" i="44" s="1"/>
  <c r="Z16" i="53"/>
  <c r="Z42" i="21"/>
  <c r="Y24" i="46"/>
  <c r="Y33" i="5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R17" i="51"/>
  <c r="Y17" i="51" s="1"/>
  <c r="R9" i="49"/>
  <c r="R21" i="48"/>
  <c r="Y21" i="48" s="1"/>
  <c r="R31" i="46"/>
  <c r="R5" i="40"/>
  <c r="Y5" i="38"/>
  <c r="R17" i="37"/>
  <c r="R31" i="33"/>
  <c r="R21" i="33"/>
  <c r="Y21" i="33" s="1"/>
  <c r="R7" i="32"/>
  <c r="T7" i="32" s="1"/>
  <c r="AA7" i="32" s="1"/>
  <c r="C17" i="23"/>
  <c r="C17" i="24" s="1"/>
  <c r="I17" i="23"/>
  <c r="I17" i="24" s="1"/>
  <c r="H25" i="23"/>
  <c r="AC21" i="23"/>
  <c r="AC21" i="24" s="1"/>
  <c r="AK20" i="21"/>
  <c r="AK24" i="21"/>
  <c r="AK28" i="21"/>
  <c r="AK32" i="21"/>
  <c r="AK36" i="21"/>
  <c r="AK40" i="21"/>
  <c r="AA17" i="23"/>
  <c r="AA17" i="24" s="1"/>
  <c r="U41" i="23"/>
  <c r="U41" i="24" s="1"/>
  <c r="M33" i="23"/>
  <c r="M33" i="24" s="1"/>
  <c r="K37" i="23"/>
  <c r="K37" i="24" s="1"/>
  <c r="R18" i="35"/>
  <c r="Y18" i="35" s="1"/>
  <c r="W30" i="29"/>
  <c r="R31" i="61"/>
  <c r="R3" i="63"/>
  <c r="Y3" i="63" s="1"/>
  <c r="Z3" i="63"/>
  <c r="R5" i="63"/>
  <c r="T5" i="63" s="1"/>
  <c r="R6" i="63"/>
  <c r="T6" i="63" s="1"/>
  <c r="R7" i="63"/>
  <c r="T7" i="63" s="1"/>
  <c r="AA7" i="63" s="1"/>
  <c r="R8" i="63"/>
  <c r="T8" i="63" s="1"/>
  <c r="AA8" i="63" s="1"/>
  <c r="R9" i="63"/>
  <c r="T9" i="63" s="1"/>
  <c r="R10" i="63"/>
  <c r="T10" i="63" s="1"/>
  <c r="AA10" i="63" s="1"/>
  <c r="R11" i="63"/>
  <c r="T11" i="63" s="1"/>
  <c r="AA11" i="63" s="1"/>
  <c r="R4" i="64"/>
  <c r="T4" i="64" s="1"/>
  <c r="AA4" i="64" s="1"/>
  <c r="R9" i="64"/>
  <c r="T9" i="64" s="1"/>
  <c r="R16" i="64"/>
  <c r="T16" i="64" s="1"/>
  <c r="AA16" i="64" s="1"/>
  <c r="AJ34" i="23"/>
  <c r="AJ34" i="24" s="1"/>
  <c r="AJ18" i="23"/>
  <c r="AJ18" i="24" s="1"/>
  <c r="B14" i="24"/>
  <c r="AH21" i="23"/>
  <c r="AH21" i="24" s="1"/>
  <c r="Y14" i="32"/>
  <c r="AN40" i="23"/>
  <c r="AQ40" i="23" s="1"/>
  <c r="AF33" i="23"/>
  <c r="AF33" i="24" s="1"/>
  <c r="AN19" i="23"/>
  <c r="AQ19" i="23" s="1"/>
  <c r="Z10" i="35"/>
  <c r="R21" i="61"/>
  <c r="R10" i="38"/>
  <c r="R10" i="36"/>
  <c r="R24" i="40"/>
  <c r="R12" i="41"/>
  <c r="Y7" i="62"/>
  <c r="Y17" i="62"/>
  <c r="Y10" i="62"/>
  <c r="Y22" i="62"/>
  <c r="T14" i="33"/>
  <c r="AA14" i="33" s="1"/>
  <c r="T22" i="54"/>
  <c r="AA22" i="54" s="1"/>
  <c r="R28" i="48"/>
  <c r="S36" i="56"/>
  <c r="T10" i="32"/>
  <c r="AA10" i="32" s="1"/>
  <c r="T30" i="43"/>
  <c r="AA30" i="43" s="1"/>
  <c r="T18" i="31"/>
  <c r="AA18" i="31" s="1"/>
  <c r="Y4" i="44"/>
  <c r="Z24" i="34"/>
  <c r="R22" i="36"/>
  <c r="R28" i="37"/>
  <c r="R28" i="38"/>
  <c r="Y28" i="38" s="1"/>
  <c r="R4" i="40"/>
  <c r="Y4" i="40" s="1"/>
  <c r="R18" i="50"/>
  <c r="T18" i="50" s="1"/>
  <c r="AA18" i="50" s="1"/>
  <c r="R18" i="52"/>
  <c r="Y18" i="52" s="1"/>
  <c r="R6" i="43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R13" i="41"/>
  <c r="R11" i="40"/>
  <c r="R21" i="39"/>
  <c r="Y21" i="39" s="1"/>
  <c r="R11" i="33"/>
  <c r="T11" i="33" s="1"/>
  <c r="AA11" i="33" s="1"/>
  <c r="R23" i="32"/>
  <c r="T23" i="32" s="1"/>
  <c r="AA23" i="32" s="1"/>
  <c r="F29" i="23"/>
  <c r="F29" i="24" s="1"/>
  <c r="AC17" i="23"/>
  <c r="AC17" i="24" s="1"/>
  <c r="R17" i="23"/>
  <c r="R17" i="24" s="1"/>
  <c r="R7" i="64"/>
  <c r="T7" i="64" s="1"/>
  <c r="AA7" i="64" s="1"/>
  <c r="AJ38" i="23"/>
  <c r="AJ38" i="24" s="1"/>
  <c r="AJ22" i="23"/>
  <c r="AJ22" i="24" s="1"/>
  <c r="AJ45" i="21"/>
  <c r="I89" i="26" s="1"/>
  <c r="D8" i="28"/>
  <c r="D9" i="28" s="1"/>
  <c r="D10" i="28" s="1"/>
  <c r="D11" i="28" s="1"/>
  <c r="D12" i="28" s="1"/>
  <c r="D13" i="28" s="1"/>
  <c r="D14" i="28" s="1"/>
  <c r="D15" i="28" s="1"/>
  <c r="D16" i="28" s="1"/>
  <c r="D17" i="28" s="1"/>
  <c r="D18" i="28" s="1"/>
  <c r="D19" i="28" s="1"/>
  <c r="D20" i="28" s="1"/>
  <c r="D21" i="28" s="1"/>
  <c r="D22" i="28" s="1"/>
  <c r="D23" i="28" s="1"/>
  <c r="D24" i="28" s="1"/>
  <c r="D25" i="28" s="1"/>
  <c r="D26" i="28" s="1"/>
  <c r="D27" i="28" s="1"/>
  <c r="D28" i="28" s="1"/>
  <c r="D29" i="28" s="1"/>
  <c r="D30" i="28" s="1"/>
  <c r="D31" i="28" s="1"/>
  <c r="D32" i="28" s="1"/>
  <c r="D33" i="28" s="1"/>
  <c r="D34" i="28" s="1"/>
  <c r="D36" i="28" s="1"/>
  <c r="D37" i="28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Z8" i="35"/>
  <c r="R8" i="35"/>
  <c r="R20" i="32"/>
  <c r="Y20" i="32" s="1"/>
  <c r="Z20" i="32"/>
  <c r="Z21" i="32"/>
  <c r="R21" i="32"/>
  <c r="W28" i="29"/>
  <c r="O28" i="29"/>
  <c r="O16" i="29"/>
  <c r="W16" i="29"/>
  <c r="Z27" i="64"/>
  <c r="R27" i="64"/>
  <c r="T27" i="64" s="1"/>
  <c r="AA27" i="64" s="1"/>
  <c r="T15" i="33"/>
  <c r="AA15" i="33" s="1"/>
  <c r="Y15" i="33"/>
  <c r="T13" i="32"/>
  <c r="AA13" i="32" s="1"/>
  <c r="Y13" i="32"/>
  <c r="T17" i="31"/>
  <c r="AA17" i="31" s="1"/>
  <c r="Y17" i="31"/>
  <c r="T15" i="30"/>
  <c r="AA15" i="30" s="1"/>
  <c r="Y15" i="30"/>
  <c r="P11" i="24"/>
  <c r="R30" i="58"/>
  <c r="Z30" i="58"/>
  <c r="Z9" i="53"/>
  <c r="R9" i="53"/>
  <c r="Z17" i="53"/>
  <c r="R17" i="53"/>
  <c r="Y17" i="53" s="1"/>
  <c r="Z19" i="52"/>
  <c r="R19" i="52"/>
  <c r="Z33" i="47"/>
  <c r="R33" i="47"/>
  <c r="Z11" i="46"/>
  <c r="R11" i="46"/>
  <c r="Z23" i="45"/>
  <c r="R23" i="45"/>
  <c r="Z19" i="44"/>
  <c r="R19" i="44"/>
  <c r="T19" i="44" s="1"/>
  <c r="AA19" i="44" s="1"/>
  <c r="Z26" i="43"/>
  <c r="R26" i="43"/>
  <c r="R16" i="37"/>
  <c r="Z16" i="37"/>
  <c r="Z29" i="36"/>
  <c r="R29" i="36"/>
  <c r="Z3" i="64"/>
  <c r="R3" i="64"/>
  <c r="T3" i="64" s="1"/>
  <c r="Z13" i="64"/>
  <c r="R13" i="64"/>
  <c r="T13" i="64" s="1"/>
  <c r="AA13" i="64" s="1"/>
  <c r="S36" i="59"/>
  <c r="S36" i="32"/>
  <c r="T30" i="46"/>
  <c r="AA30" i="46" s="1"/>
  <c r="T33" i="41"/>
  <c r="AA33" i="41" s="1"/>
  <c r="Y14" i="46"/>
  <c r="Y18" i="41"/>
  <c r="Y32" i="38"/>
  <c r="T4" i="52"/>
  <c r="AA4" i="52" s="1"/>
  <c r="T18" i="47"/>
  <c r="AA18" i="47" s="1"/>
  <c r="R20" i="61"/>
  <c r="Z10" i="58"/>
  <c r="T6" i="61"/>
  <c r="AA6" i="61" s="1"/>
  <c r="R4" i="32"/>
  <c r="R10" i="48"/>
  <c r="T30" i="56"/>
  <c r="AA30" i="56" s="1"/>
  <c r="T6" i="55"/>
  <c r="AA6" i="55" s="1"/>
  <c r="T6" i="53"/>
  <c r="AA6" i="53" s="1"/>
  <c r="T6" i="51"/>
  <c r="AA6" i="51" s="1"/>
  <c r="T6" i="49"/>
  <c r="AA6" i="49" s="1"/>
  <c r="T22" i="48"/>
  <c r="AA22" i="48" s="1"/>
  <c r="T6" i="52"/>
  <c r="AA6" i="52" s="1"/>
  <c r="T6" i="50"/>
  <c r="AA6" i="50" s="1"/>
  <c r="T22" i="49"/>
  <c r="AA22" i="49" s="1"/>
  <c r="S36" i="31"/>
  <c r="Z6" i="34"/>
  <c r="Z8" i="59"/>
  <c r="T20" i="58"/>
  <c r="AA20" i="58" s="1"/>
  <c r="T12" i="56"/>
  <c r="AA12" i="56" s="1"/>
  <c r="T22" i="40"/>
  <c r="AA22" i="40" s="1"/>
  <c r="Y18" i="34"/>
  <c r="Y28" i="32"/>
  <c r="Y6" i="34"/>
  <c r="T27" i="50"/>
  <c r="AA27" i="50" s="1"/>
  <c r="Y33" i="44"/>
  <c r="Y23" i="56"/>
  <c r="T3" i="38"/>
  <c r="AA3" i="38" s="1"/>
  <c r="Y5" i="31"/>
  <c r="R12" i="59"/>
  <c r="T12" i="59" s="1"/>
  <c r="AA12" i="59" s="1"/>
  <c r="Y11" i="58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T25" i="38"/>
  <c r="AA25" i="38" s="1"/>
  <c r="R9" i="35"/>
  <c r="C44" i="21"/>
  <c r="I56" i="27" s="1"/>
  <c r="I56" i="25" s="1"/>
  <c r="U12" i="23"/>
  <c r="U12" i="24" s="1"/>
  <c r="Y3" i="54"/>
  <c r="T31" i="41"/>
  <c r="AA31" i="41" s="1"/>
  <c r="Y31" i="41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Z27" i="43"/>
  <c r="R27" i="43"/>
  <c r="Z11" i="42"/>
  <c r="R11" i="42"/>
  <c r="Y11" i="42" s="1"/>
  <c r="Z7" i="41"/>
  <c r="R7" i="41"/>
  <c r="R30" i="41"/>
  <c r="Y30" i="41" s="1"/>
  <c r="Z30" i="41"/>
  <c r="Z17" i="32"/>
  <c r="R17" i="32"/>
  <c r="Z25" i="32"/>
  <c r="R25" i="32"/>
  <c r="T25" i="32" s="1"/>
  <c r="AA25" i="32" s="1"/>
  <c r="R26" i="30"/>
  <c r="Z26" i="30"/>
  <c r="T15" i="44"/>
  <c r="AA15" i="44" s="1"/>
  <c r="T10" i="39"/>
  <c r="AA10" i="39" s="1"/>
  <c r="T20" i="33"/>
  <c r="AA20" i="33" s="1"/>
  <c r="Y16" i="42"/>
  <c r="AB42" i="21"/>
  <c r="T11" i="24"/>
  <c r="T11" i="61"/>
  <c r="AA11" i="61" s="1"/>
  <c r="R24" i="61"/>
  <c r="T24" i="61" s="1"/>
  <c r="AA24" i="61" s="1"/>
  <c r="Q12" i="29"/>
  <c r="X12" i="29" s="1"/>
  <c r="T22" i="46"/>
  <c r="AA22" i="46" s="1"/>
  <c r="T22" i="45"/>
  <c r="AA22" i="45" s="1"/>
  <c r="Y26" i="57"/>
  <c r="T6" i="54"/>
  <c r="AA6" i="54" s="1"/>
  <c r="Z22" i="35"/>
  <c r="O20" i="29"/>
  <c r="Z6" i="30"/>
  <c r="AQ35" i="23"/>
  <c r="T11" i="34"/>
  <c r="AA11" i="34" s="1"/>
  <c r="T14" i="42"/>
  <c r="AA14" i="42" s="1"/>
  <c r="Y20" i="57"/>
  <c r="Z32" i="31"/>
  <c r="Y32" i="31"/>
  <c r="Y32" i="35"/>
  <c r="R18" i="48"/>
  <c r="Y9" i="40"/>
  <c r="Y25" i="44"/>
  <c r="Y15" i="43"/>
  <c r="R16" i="59"/>
  <c r="T16" i="59" s="1"/>
  <c r="AA16" i="59" s="1"/>
  <c r="R7" i="53"/>
  <c r="R13" i="47"/>
  <c r="R25" i="43"/>
  <c r="T25" i="43" s="1"/>
  <c r="AA25" i="43" s="1"/>
  <c r="R33" i="35"/>
  <c r="R5" i="32"/>
  <c r="AK11" i="21"/>
  <c r="AK13" i="21"/>
  <c r="AK14" i="21"/>
  <c r="AK15" i="21"/>
  <c r="AK17" i="21"/>
  <c r="AK18" i="21"/>
  <c r="AK19" i="21"/>
  <c r="AK21" i="21"/>
  <c r="AK22" i="21"/>
  <c r="AK23" i="21"/>
  <c r="AK26" i="21"/>
  <c r="AK27" i="21"/>
  <c r="AK29" i="21"/>
  <c r="AK30" i="21"/>
  <c r="AK31" i="21"/>
  <c r="AK33" i="21"/>
  <c r="AK34" i="21"/>
  <c r="AK35" i="21"/>
  <c r="AK37" i="21"/>
  <c r="AK38" i="21"/>
  <c r="AK39" i="21"/>
  <c r="AK41" i="21"/>
  <c r="AJ44" i="21"/>
  <c r="I89" i="27" s="1"/>
  <c r="Y3" i="49"/>
  <c r="T3" i="49"/>
  <c r="AA3" i="49" s="1"/>
  <c r="T15" i="37"/>
  <c r="AA15" i="37" s="1"/>
  <c r="Y15" i="37"/>
  <c r="N11" i="24"/>
  <c r="Y17" i="57"/>
  <c r="Y3" i="53"/>
  <c r="T3" i="53"/>
  <c r="AA3" i="53" s="1"/>
  <c r="T31" i="52"/>
  <c r="AA31" i="52" s="1"/>
  <c r="T19" i="31"/>
  <c r="AA19" i="31" s="1"/>
  <c r="Y19" i="31"/>
  <c r="AJ12" i="23"/>
  <c r="AJ12" i="24" s="1"/>
  <c r="B12" i="23"/>
  <c r="I12" i="23"/>
  <c r="I12" i="24" s="1"/>
  <c r="AD12" i="23"/>
  <c r="AD12" i="24" s="1"/>
  <c r="S12" i="23"/>
  <c r="S12" i="24" s="1"/>
  <c r="H12" i="23"/>
  <c r="H12" i="24" s="1"/>
  <c r="AM15" i="24"/>
  <c r="C15" i="23"/>
  <c r="C15" i="24" s="1"/>
  <c r="M15" i="23"/>
  <c r="M15" i="24" s="1"/>
  <c r="P15" i="23"/>
  <c r="P15" i="24" s="1"/>
  <c r="Q15" i="23"/>
  <c r="Q15" i="24" s="1"/>
  <c r="R15" i="23"/>
  <c r="R15" i="24" s="1"/>
  <c r="S15" i="23"/>
  <c r="S15" i="24" s="1"/>
  <c r="Z15" i="23"/>
  <c r="Z15" i="24" s="1"/>
  <c r="AB15" i="23"/>
  <c r="AB15" i="24" s="1"/>
  <c r="V15" i="23"/>
  <c r="V15" i="24" s="1"/>
  <c r="X15" i="23"/>
  <c r="X15" i="24" s="1"/>
  <c r="AA15" i="23"/>
  <c r="AA15" i="24" s="1"/>
  <c r="AJ15" i="23"/>
  <c r="AJ15" i="24" s="1"/>
  <c r="E15" i="23"/>
  <c r="E15" i="24" s="1"/>
  <c r="F15" i="23"/>
  <c r="F15" i="24" s="1"/>
  <c r="G15" i="23"/>
  <c r="G15" i="24" s="1"/>
  <c r="AK15" i="24" s="1"/>
  <c r="H15" i="23"/>
  <c r="H15" i="24" s="1"/>
  <c r="L15" i="23"/>
  <c r="L15" i="24" s="1"/>
  <c r="N15" i="23"/>
  <c r="N15" i="24" s="1"/>
  <c r="O15" i="23"/>
  <c r="O15" i="24" s="1"/>
  <c r="AF15" i="23"/>
  <c r="AF15" i="24" s="1"/>
  <c r="AM19" i="24"/>
  <c r="AI19" i="23"/>
  <c r="AI19" i="24" s="1"/>
  <c r="R19" i="23"/>
  <c r="R19" i="24" s="1"/>
  <c r="AF19" i="23"/>
  <c r="AF19" i="24" s="1"/>
  <c r="Y19" i="23"/>
  <c r="Y19" i="24" s="1"/>
  <c r="AA19" i="23"/>
  <c r="AA19" i="24" s="1"/>
  <c r="U19" i="23"/>
  <c r="U19" i="24" s="1"/>
  <c r="P19" i="23"/>
  <c r="P19" i="24" s="1"/>
  <c r="K19" i="23"/>
  <c r="K19" i="24" s="1"/>
  <c r="E19" i="23"/>
  <c r="E19" i="24" s="1"/>
  <c r="AJ19" i="23"/>
  <c r="AJ19" i="24" s="1"/>
  <c r="Z19" i="23"/>
  <c r="Z19" i="24" s="1"/>
  <c r="F19" i="23"/>
  <c r="F19" i="24" s="1"/>
  <c r="W19" i="23"/>
  <c r="W19" i="24" s="1"/>
  <c r="Q19" i="23"/>
  <c r="Q19" i="24" s="1"/>
  <c r="L19" i="23"/>
  <c r="L19" i="24" s="1"/>
  <c r="G19" i="23"/>
  <c r="G19" i="24" s="1"/>
  <c r="AC19" i="23"/>
  <c r="AC19" i="24" s="1"/>
  <c r="B23" i="23"/>
  <c r="U23" i="23"/>
  <c r="U23" i="24" s="1"/>
  <c r="I23" i="23"/>
  <c r="I23" i="24" s="1"/>
  <c r="J23" i="23"/>
  <c r="J23" i="24" s="1"/>
  <c r="N23" i="23"/>
  <c r="N23" i="24" s="1"/>
  <c r="T23" i="23"/>
  <c r="T23" i="24" s="1"/>
  <c r="W23" i="23"/>
  <c r="W23" i="24" s="1"/>
  <c r="X23" i="23"/>
  <c r="X23" i="24" s="1"/>
  <c r="Y23" i="23"/>
  <c r="Y23" i="24" s="1"/>
  <c r="Z23" i="23"/>
  <c r="Z23" i="24" s="1"/>
  <c r="AA23" i="23"/>
  <c r="AA23" i="24" s="1"/>
  <c r="AB23" i="23"/>
  <c r="AB23" i="24" s="1"/>
  <c r="AJ23" i="23"/>
  <c r="AJ23" i="24" s="1"/>
  <c r="M23" i="23"/>
  <c r="M23" i="24" s="1"/>
  <c r="S23" i="23"/>
  <c r="S23" i="24" s="1"/>
  <c r="V23" i="23"/>
  <c r="V23" i="24" s="1"/>
  <c r="AD23" i="23"/>
  <c r="AD23" i="24" s="1"/>
  <c r="AE23" i="23"/>
  <c r="AE23" i="24" s="1"/>
  <c r="AE27" i="23"/>
  <c r="AE27" i="24" s="1"/>
  <c r="AM27" i="24"/>
  <c r="F27" i="23"/>
  <c r="F27" i="24" s="1"/>
  <c r="AJ27" i="23"/>
  <c r="AJ27" i="24" s="1"/>
  <c r="N31" i="23"/>
  <c r="N31" i="24" s="1"/>
  <c r="AJ31" i="23"/>
  <c r="AJ31" i="24" s="1"/>
  <c r="C35" i="23"/>
  <c r="C35" i="24" s="1"/>
  <c r="F35" i="23"/>
  <c r="F35" i="24" s="1"/>
  <c r="L35" i="23"/>
  <c r="L35" i="24" s="1"/>
  <c r="Q35" i="23"/>
  <c r="Q35" i="24" s="1"/>
  <c r="R35" i="23"/>
  <c r="R35" i="24" s="1"/>
  <c r="S35" i="23"/>
  <c r="S35" i="24" s="1"/>
  <c r="E35" i="23"/>
  <c r="E35" i="24" s="1"/>
  <c r="G35" i="23"/>
  <c r="G35" i="24" s="1"/>
  <c r="U35" i="23"/>
  <c r="U35" i="24" s="1"/>
  <c r="V35" i="23"/>
  <c r="V35" i="24" s="1"/>
  <c r="X35" i="23"/>
  <c r="X35" i="24" s="1"/>
  <c r="AA35" i="23"/>
  <c r="AA35" i="24" s="1"/>
  <c r="AB35" i="23"/>
  <c r="AB35" i="24" s="1"/>
  <c r="AD35" i="23"/>
  <c r="AD35" i="24" s="1"/>
  <c r="AJ35" i="23"/>
  <c r="AJ35" i="24" s="1"/>
  <c r="D35" i="23"/>
  <c r="D35" i="24" s="1"/>
  <c r="J35" i="23"/>
  <c r="J35" i="24" s="1"/>
  <c r="T35" i="23"/>
  <c r="T35" i="24" s="1"/>
  <c r="W35" i="23"/>
  <c r="W35" i="24" s="1"/>
  <c r="Y35" i="23"/>
  <c r="Y35" i="24" s="1"/>
  <c r="Z35" i="23"/>
  <c r="Z35" i="24" s="1"/>
  <c r="AF35" i="23"/>
  <c r="AF35" i="24" s="1"/>
  <c r="AC35" i="23"/>
  <c r="AC35" i="24" s="1"/>
  <c r="B39" i="23"/>
  <c r="O39" i="23"/>
  <c r="O39" i="24" s="1"/>
  <c r="X39" i="23"/>
  <c r="X39" i="24" s="1"/>
  <c r="AA39" i="23"/>
  <c r="AA39" i="24" s="1"/>
  <c r="J39" i="23"/>
  <c r="J39" i="24" s="1"/>
  <c r="T39" i="23"/>
  <c r="T39" i="24" s="1"/>
  <c r="Y39" i="23"/>
  <c r="Y39" i="24" s="1"/>
  <c r="AC39" i="23"/>
  <c r="AC39" i="24" s="1"/>
  <c r="AJ39" i="23"/>
  <c r="AJ39" i="24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Z23" i="43"/>
  <c r="R23" i="43"/>
  <c r="T23" i="43" s="1"/>
  <c r="AA23" i="43" s="1"/>
  <c r="R20" i="34"/>
  <c r="Y20" i="34" s="1"/>
  <c r="Z20" i="34"/>
  <c r="Z24" i="64"/>
  <c r="R24" i="64"/>
  <c r="T24" i="64" s="1"/>
  <c r="AA24" i="64" s="1"/>
  <c r="Y7" i="59"/>
  <c r="R28" i="61"/>
  <c r="R12" i="61"/>
  <c r="Y11" i="47"/>
  <c r="R16" i="61"/>
  <c r="T27" i="34"/>
  <c r="AA27" i="34" s="1"/>
  <c r="T19" i="34"/>
  <c r="AA19" i="34" s="1"/>
  <c r="Z30" i="30"/>
  <c r="S36" i="30"/>
  <c r="Z6" i="31"/>
  <c r="Y14" i="37"/>
  <c r="Y22" i="35"/>
  <c r="R6" i="59"/>
  <c r="R15" i="51"/>
  <c r="T15" i="51" s="1"/>
  <c r="AA15" i="51" s="1"/>
  <c r="R31" i="30"/>
  <c r="Z19" i="60"/>
  <c r="AJ11" i="23"/>
  <c r="AK25" i="21"/>
  <c r="AC45" i="21"/>
  <c r="I82" i="26" s="1"/>
  <c r="Z11" i="60"/>
  <c r="Z23" i="60"/>
  <c r="S36" i="40"/>
  <c r="S36" i="39"/>
  <c r="R12" i="63"/>
  <c r="T12" i="63" s="1"/>
  <c r="AA12" i="63" s="1"/>
  <c r="R13" i="63"/>
  <c r="T13" i="63" s="1"/>
  <c r="R14" i="63"/>
  <c r="T14" i="63" s="1"/>
  <c r="R15" i="63"/>
  <c r="T15" i="63" s="1"/>
  <c r="AA15" i="63" s="1"/>
  <c r="R16" i="63"/>
  <c r="T16" i="63" s="1"/>
  <c r="AA16" i="63" s="1"/>
  <c r="R17" i="63"/>
  <c r="T17" i="63" s="1"/>
  <c r="AA17" i="63" s="1"/>
  <c r="R18" i="63"/>
  <c r="T18" i="63" s="1"/>
  <c r="AA18" i="63" s="1"/>
  <c r="R19" i="63"/>
  <c r="T19" i="63" s="1"/>
  <c r="AA19" i="63" s="1"/>
  <c r="R20" i="63"/>
  <c r="T20" i="63" s="1"/>
  <c r="AA20" i="63" s="1"/>
  <c r="AJ40" i="23"/>
  <c r="AJ40" i="24" s="1"/>
  <c r="AJ36" i="23"/>
  <c r="AJ36" i="24" s="1"/>
  <c r="AJ32" i="23"/>
  <c r="AJ32" i="24" s="1"/>
  <c r="AJ28" i="23"/>
  <c r="AJ28" i="24" s="1"/>
  <c r="AJ24" i="23"/>
  <c r="AJ24" i="24" s="1"/>
  <c r="AJ20" i="23"/>
  <c r="AJ20" i="24" s="1"/>
  <c r="AJ16" i="23"/>
  <c r="AJ16" i="24" s="1"/>
  <c r="S36" i="34"/>
  <c r="R5" i="64"/>
  <c r="T5" i="64" s="1"/>
  <c r="R8" i="64"/>
  <c r="T8" i="64" s="1"/>
  <c r="AA8" i="64" s="1"/>
  <c r="R11" i="64"/>
  <c r="T11" i="64" s="1"/>
  <c r="AA11" i="64" s="1"/>
  <c r="R17" i="64"/>
  <c r="T17" i="64" s="1"/>
  <c r="AA17" i="64" s="1"/>
  <c r="R29" i="64"/>
  <c r="T29" i="64" s="1"/>
  <c r="AA29" i="64" s="1"/>
  <c r="AJ41" i="23"/>
  <c r="AJ41" i="24" s="1"/>
  <c r="AJ37" i="23"/>
  <c r="AJ37" i="24" s="1"/>
  <c r="AJ33" i="23"/>
  <c r="AJ33" i="24" s="1"/>
  <c r="AJ29" i="23"/>
  <c r="AJ29" i="24" s="1"/>
  <c r="AJ25" i="23"/>
  <c r="AJ21" i="23"/>
  <c r="AJ21" i="24" s="1"/>
  <c r="AJ17" i="23"/>
  <c r="AJ17" i="24" s="1"/>
  <c r="AJ13" i="23"/>
  <c r="AJ13" i="24" s="1"/>
  <c r="AJ42" i="21"/>
  <c r="I63" i="25"/>
  <c r="I58" i="25"/>
  <c r="I79" i="25"/>
  <c r="I62" i="25"/>
  <c r="AC42" i="21"/>
  <c r="AD45" i="21"/>
  <c r="I83" i="26" s="1"/>
  <c r="AD42" i="21"/>
  <c r="AE45" i="21"/>
  <c r="I84" i="26" s="1"/>
  <c r="AE44" i="21"/>
  <c r="I84" i="27" s="1"/>
  <c r="AA45" i="21"/>
  <c r="I80" i="26" s="1"/>
  <c r="W45" i="21"/>
  <c r="I76" i="26" s="1"/>
  <c r="I76" i="25" s="1"/>
  <c r="S45" i="21"/>
  <c r="I72" i="26" s="1"/>
  <c r="AI42" i="21"/>
  <c r="I85" i="27"/>
  <c r="G42" i="21"/>
  <c r="T42" i="21"/>
  <c r="P42" i="21"/>
  <c r="I65" i="25"/>
  <c r="H42" i="21"/>
  <c r="D42" i="21"/>
  <c r="AB45" i="21"/>
  <c r="I81" i="26" s="1"/>
  <c r="I81" i="25" s="1"/>
  <c r="X45" i="21"/>
  <c r="I77" i="26" s="1"/>
  <c r="I77" i="25" s="1"/>
  <c r="T45" i="21"/>
  <c r="I73" i="26" s="1"/>
  <c r="I73" i="25" s="1"/>
  <c r="AG42" i="21"/>
  <c r="L42" i="21"/>
  <c r="I66" i="25"/>
  <c r="AE42" i="21"/>
  <c r="B44" i="21"/>
  <c r="I55" i="27" s="1"/>
  <c r="I55" i="25" s="1"/>
  <c r="Y42" i="21"/>
  <c r="U45" i="21"/>
  <c r="I74" i="26" s="1"/>
  <c r="Z45" i="21"/>
  <c r="V45" i="21"/>
  <c r="I75" i="26" s="1"/>
  <c r="I75" i="25" s="1"/>
  <c r="R45" i="21"/>
  <c r="I71" i="26" s="1"/>
  <c r="I71" i="25" s="1"/>
  <c r="AH44" i="21"/>
  <c r="I87" i="27" s="1"/>
  <c r="I87" i="25" s="1"/>
  <c r="AG45" i="21"/>
  <c r="I86" i="26" s="1"/>
  <c r="AI45" i="21"/>
  <c r="I88" i="26" s="1"/>
  <c r="Y15" i="59"/>
  <c r="T15" i="59"/>
  <c r="AA15" i="59" s="1"/>
  <c r="Y30" i="36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Z13" i="42"/>
  <c r="R13" i="42"/>
  <c r="W9" i="29"/>
  <c r="O9" i="29"/>
  <c r="T18" i="45"/>
  <c r="AA18" i="45" s="1"/>
  <c r="Y18" i="45"/>
  <c r="Y33" i="60"/>
  <c r="T33" i="60"/>
  <c r="AA33" i="60" s="1"/>
  <c r="T3" i="52"/>
  <c r="AA3" i="52" s="1"/>
  <c r="Y3" i="52"/>
  <c r="Y11" i="40"/>
  <c r="T11" i="40"/>
  <c r="AA11" i="40" s="1"/>
  <c r="T25" i="36"/>
  <c r="AA25" i="36" s="1"/>
  <c r="Y25" i="36"/>
  <c r="Y28" i="60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Z27" i="42"/>
  <c r="R27" i="42"/>
  <c r="Y27" i="42" s="1"/>
  <c r="T16" i="41"/>
  <c r="AA16" i="41" s="1"/>
  <c r="Y16" i="41"/>
  <c r="R28" i="39"/>
  <c r="Z28" i="39"/>
  <c r="Z29" i="39"/>
  <c r="R29" i="39"/>
  <c r="Z4" i="37"/>
  <c r="R4" i="37"/>
  <c r="Z8" i="36"/>
  <c r="R8" i="36"/>
  <c r="Z20" i="36"/>
  <c r="R20" i="36"/>
  <c r="T8" i="31"/>
  <c r="AA8" i="31" s="1"/>
  <c r="Y8" i="31"/>
  <c r="Z9" i="31"/>
  <c r="R9" i="31"/>
  <c r="Z25" i="30"/>
  <c r="R25" i="30"/>
  <c r="W31" i="29"/>
  <c r="O31" i="29"/>
  <c r="V31" i="29" s="1"/>
  <c r="Z8" i="61"/>
  <c r="R8" i="61"/>
  <c r="Z10" i="64"/>
  <c r="R10" i="64"/>
  <c r="T10" i="64" s="1"/>
  <c r="AA10" i="64" s="1"/>
  <c r="Z22" i="64"/>
  <c r="R22" i="64"/>
  <c r="T22" i="64" s="1"/>
  <c r="AA22" i="64" s="1"/>
  <c r="T9" i="39"/>
  <c r="AA9" i="39" s="1"/>
  <c r="T26" i="39"/>
  <c r="AA26" i="39" s="1"/>
  <c r="T28" i="52"/>
  <c r="AA28" i="52" s="1"/>
  <c r="T20" i="35"/>
  <c r="AA20" i="35" s="1"/>
  <c r="Y24" i="30"/>
  <c r="Y7" i="61"/>
  <c r="S36" i="61"/>
  <c r="R4" i="46"/>
  <c r="T21" i="47"/>
  <c r="AA21" i="47" s="1"/>
  <c r="R17" i="59"/>
  <c r="T13" i="45"/>
  <c r="AA13" i="45" s="1"/>
  <c r="Y5" i="62"/>
  <c r="Y13" i="62"/>
  <c r="Y21" i="62"/>
  <c r="Y8" i="62"/>
  <c r="Y16" i="62"/>
  <c r="T33" i="62"/>
  <c r="AA33" i="62" s="1"/>
  <c r="Y3" i="59"/>
  <c r="Y6" i="30"/>
  <c r="R30" i="34"/>
  <c r="Z18" i="59"/>
  <c r="Z15" i="59"/>
  <c r="T4" i="39"/>
  <c r="AA4" i="39" s="1"/>
  <c r="Q34" i="29"/>
  <c r="X34" i="29" s="1"/>
  <c r="T20" i="47"/>
  <c r="AA20" i="47" s="1"/>
  <c r="T10" i="53"/>
  <c r="AA10" i="53" s="1"/>
  <c r="Y10" i="53"/>
  <c r="Y3" i="48"/>
  <c r="T17" i="45"/>
  <c r="AA17" i="45" s="1"/>
  <c r="Y3" i="44"/>
  <c r="T3" i="44"/>
  <c r="AA3" i="44" s="1"/>
  <c r="T23" i="41"/>
  <c r="AA23" i="41" s="1"/>
  <c r="Y23" i="41"/>
  <c r="T5" i="39"/>
  <c r="AA5" i="39" s="1"/>
  <c r="Y5" i="39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Z6" i="42"/>
  <c r="R6" i="42"/>
  <c r="Z12" i="42"/>
  <c r="R12" i="42"/>
  <c r="R33" i="42"/>
  <c r="Z33" i="42"/>
  <c r="R27" i="39"/>
  <c r="Z27" i="39"/>
  <c r="Z7" i="36"/>
  <c r="R7" i="36"/>
  <c r="Z19" i="36"/>
  <c r="R19" i="36"/>
  <c r="Z31" i="34"/>
  <c r="R31" i="34"/>
  <c r="R33" i="32"/>
  <c r="Z33" i="32"/>
  <c r="R22" i="30"/>
  <c r="Z22" i="30"/>
  <c r="Z6" i="64"/>
  <c r="R6" i="64"/>
  <c r="T6" i="64" s="1"/>
  <c r="AA6" i="64" s="1"/>
  <c r="Z18" i="64"/>
  <c r="R18" i="64"/>
  <c r="T18" i="64" s="1"/>
  <c r="AA18" i="64" s="1"/>
  <c r="Y14" i="38"/>
  <c r="Y33" i="50"/>
  <c r="T33" i="50"/>
  <c r="AA33" i="50" s="1"/>
  <c r="Y3" i="50"/>
  <c r="T3" i="50"/>
  <c r="AA3" i="50" s="1"/>
  <c r="T9" i="48"/>
  <c r="AA9" i="48" s="1"/>
  <c r="Y9" i="48"/>
  <c r="Y5" i="37"/>
  <c r="T5" i="37"/>
  <c r="AA5" i="37" s="1"/>
  <c r="T21" i="33"/>
  <c r="AA21" i="33" s="1"/>
  <c r="T9" i="32"/>
  <c r="AA9" i="32" s="1"/>
  <c r="Y3" i="31"/>
  <c r="T3" i="31"/>
  <c r="AA3" i="31" s="1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R10" i="42"/>
  <c r="Z10" i="42"/>
  <c r="Z17" i="42"/>
  <c r="R17" i="42"/>
  <c r="Z23" i="42"/>
  <c r="R23" i="42"/>
  <c r="Y23" i="42" s="1"/>
  <c r="Z28" i="42"/>
  <c r="R28" i="42"/>
  <c r="Z29" i="42"/>
  <c r="R29" i="42"/>
  <c r="Y24" i="41"/>
  <c r="T24" i="41"/>
  <c r="AA24" i="41" s="1"/>
  <c r="Z26" i="41"/>
  <c r="R26" i="41"/>
  <c r="Z20" i="40"/>
  <c r="R20" i="40"/>
  <c r="Z3" i="39"/>
  <c r="R3" i="39"/>
  <c r="R31" i="39"/>
  <c r="Y31" i="39" s="1"/>
  <c r="Z31" i="39"/>
  <c r="Z17" i="36"/>
  <c r="R17" i="36"/>
  <c r="R23" i="36"/>
  <c r="Z23" i="36"/>
  <c r="R8" i="33"/>
  <c r="Z8" i="33"/>
  <c r="Z29" i="33"/>
  <c r="R29" i="33"/>
  <c r="R8" i="32"/>
  <c r="Z8" i="32"/>
  <c r="R16" i="32"/>
  <c r="Z16" i="32"/>
  <c r="R3" i="30"/>
  <c r="Z3" i="30"/>
  <c r="W29" i="29"/>
  <c r="O29" i="29"/>
  <c r="O22" i="29"/>
  <c r="W22" i="29"/>
  <c r="O18" i="29"/>
  <c r="W18" i="29"/>
  <c r="O14" i="29"/>
  <c r="W14" i="29"/>
  <c r="Z18" i="61"/>
  <c r="R18" i="61"/>
  <c r="Z14" i="64"/>
  <c r="R14" i="64"/>
  <c r="T14" i="64" s="1"/>
  <c r="AA14" i="64" s="1"/>
  <c r="S36" i="64"/>
  <c r="Y9" i="59"/>
  <c r="Z7" i="61"/>
  <c r="T17" i="30"/>
  <c r="AA17" i="30" s="1"/>
  <c r="R26" i="42"/>
  <c r="Y19" i="62"/>
  <c r="Y26" i="62"/>
  <c r="T12" i="51"/>
  <c r="AA12" i="51" s="1"/>
  <c r="P37" i="29"/>
  <c r="T27" i="41"/>
  <c r="AA27" i="41" s="1"/>
  <c r="T4" i="56"/>
  <c r="AA4" i="56" s="1"/>
  <c r="Y9" i="33"/>
  <c r="T28" i="41"/>
  <c r="AA28" i="41" s="1"/>
  <c r="T7" i="48"/>
  <c r="AA7" i="48" s="1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R8" i="39"/>
  <c r="Z8" i="39"/>
  <c r="Z6" i="36"/>
  <c r="R6" i="36"/>
  <c r="Z23" i="30"/>
  <c r="R23" i="30"/>
  <c r="Y23" i="30" s="1"/>
  <c r="Z30" i="64"/>
  <c r="R30" i="64"/>
  <c r="T30" i="64" s="1"/>
  <c r="T30" i="59"/>
  <c r="AA30" i="59" s="1"/>
  <c r="Y30" i="59"/>
  <c r="Y29" i="56"/>
  <c r="T29" i="56"/>
  <c r="AA29" i="56" s="1"/>
  <c r="T21" i="54"/>
  <c r="AA21" i="54" s="1"/>
  <c r="Y21" i="54"/>
  <c r="T13" i="53"/>
  <c r="AA13" i="53" s="1"/>
  <c r="T19" i="52"/>
  <c r="AA19" i="52" s="1"/>
  <c r="Y19" i="52"/>
  <c r="T15" i="49"/>
  <c r="AA15" i="49" s="1"/>
  <c r="T29" i="45"/>
  <c r="AA29" i="45" s="1"/>
  <c r="Y29" i="45"/>
  <c r="Y11" i="35"/>
  <c r="T11" i="35"/>
  <c r="AA11" i="35" s="1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R25" i="46"/>
  <c r="Z25" i="46"/>
  <c r="R25" i="42"/>
  <c r="Y25" i="42" s="1"/>
  <c r="Z25" i="42"/>
  <c r="Z31" i="42"/>
  <c r="R31" i="42"/>
  <c r="Z32" i="39"/>
  <c r="R32" i="39"/>
  <c r="Z9" i="38"/>
  <c r="R9" i="38"/>
  <c r="Y9" i="38" s="1"/>
  <c r="Z15" i="38"/>
  <c r="R15" i="38"/>
  <c r="Z20" i="38"/>
  <c r="R20" i="38"/>
  <c r="Z21" i="38"/>
  <c r="R21" i="38"/>
  <c r="R5" i="36"/>
  <c r="Y5" i="36" s="1"/>
  <c r="Z5" i="36"/>
  <c r="Z31" i="36"/>
  <c r="R31" i="36"/>
  <c r="Z4" i="35"/>
  <c r="R4" i="35"/>
  <c r="R24" i="35"/>
  <c r="Z24" i="35"/>
  <c r="Z25" i="35"/>
  <c r="R25" i="35"/>
  <c r="T8" i="34"/>
  <c r="AA8" i="34" s="1"/>
  <c r="Y8" i="34"/>
  <c r="Z9" i="34"/>
  <c r="R9" i="34"/>
  <c r="R16" i="34"/>
  <c r="Z16" i="34"/>
  <c r="Z5" i="30"/>
  <c r="R5" i="30"/>
  <c r="W11" i="29"/>
  <c r="O11" i="29"/>
  <c r="Z19" i="61"/>
  <c r="R19" i="61"/>
  <c r="Z26" i="64"/>
  <c r="R26" i="64"/>
  <c r="T26" i="64" s="1"/>
  <c r="AA26" i="64" s="1"/>
  <c r="T33" i="43"/>
  <c r="AA33" i="43" s="1"/>
  <c r="R30" i="62"/>
  <c r="R29" i="62"/>
  <c r="R28" i="62"/>
  <c r="T28" i="62" s="1"/>
  <c r="AA28" i="62" s="1"/>
  <c r="R27" i="62"/>
  <c r="Y27" i="62" s="1"/>
  <c r="Y12" i="30"/>
  <c r="Y10" i="37"/>
  <c r="Z14" i="55"/>
  <c r="R14" i="39"/>
  <c r="Y3" i="60"/>
  <c r="T20" i="34"/>
  <c r="AA20" i="34" s="1"/>
  <c r="S36" i="38"/>
  <c r="Y16" i="64"/>
  <c r="Y20" i="64"/>
  <c r="Y24" i="64"/>
  <c r="Y32" i="64"/>
  <c r="Y26" i="59"/>
  <c r="Y5" i="49"/>
  <c r="T29" i="43"/>
  <c r="AA29" i="43" s="1"/>
  <c r="Z7" i="59"/>
  <c r="Z20" i="47"/>
  <c r="R24" i="44"/>
  <c r="Z6" i="41"/>
  <c r="Z28" i="41"/>
  <c r="R16" i="40"/>
  <c r="Z26" i="38"/>
  <c r="R21" i="63"/>
  <c r="T21" i="63" s="1"/>
  <c r="AA21" i="63" s="1"/>
  <c r="R22" i="63"/>
  <c r="T22" i="63" s="1"/>
  <c r="AA22" i="63" s="1"/>
  <c r="R23" i="63"/>
  <c r="T23" i="63" s="1"/>
  <c r="AA23" i="63" s="1"/>
  <c r="R24" i="63"/>
  <c r="T24" i="63" s="1"/>
  <c r="AA24" i="63" s="1"/>
  <c r="R25" i="63"/>
  <c r="T25" i="63" s="1"/>
  <c r="AA25" i="63" s="1"/>
  <c r="R26" i="63"/>
  <c r="T26" i="63" s="1"/>
  <c r="AA26" i="63" s="1"/>
  <c r="R27" i="63"/>
  <c r="T27" i="63" s="1"/>
  <c r="AA27" i="63" s="1"/>
  <c r="R28" i="63"/>
  <c r="T28" i="63" s="1"/>
  <c r="R29" i="63"/>
  <c r="T29" i="63" s="1"/>
  <c r="AA29" i="63" s="1"/>
  <c r="R30" i="63"/>
  <c r="T30" i="63" s="1"/>
  <c r="AA30" i="63" s="1"/>
  <c r="R31" i="63"/>
  <c r="T31" i="63" s="1"/>
  <c r="AA31" i="63" s="1"/>
  <c r="R32" i="63"/>
  <c r="T32" i="63" s="1"/>
  <c r="AA32" i="63" s="1"/>
  <c r="R33" i="63"/>
  <c r="T33" i="63" s="1"/>
  <c r="AA33" i="63" s="1"/>
  <c r="Y5" i="64"/>
  <c r="Y9" i="64"/>
  <c r="R15" i="64"/>
  <c r="T15" i="64" s="1"/>
  <c r="AA15" i="64" s="1"/>
  <c r="R23" i="64"/>
  <c r="T23" i="64" s="1"/>
  <c r="AA23" i="64" s="1"/>
  <c r="AA30" i="64"/>
  <c r="T17" i="55"/>
  <c r="AA17" i="55" s="1"/>
  <c r="T17" i="49"/>
  <c r="AA17" i="49" s="1"/>
  <c r="T19" i="43"/>
  <c r="AA19" i="43" s="1"/>
  <c r="T13" i="30"/>
  <c r="AA13" i="30" s="1"/>
  <c r="AO48" i="24"/>
  <c r="C95" i="26" s="1"/>
  <c r="D95" i="26" s="1"/>
  <c r="D97" i="26" s="1"/>
  <c r="R25" i="59"/>
  <c r="Y25" i="59" s="1"/>
  <c r="R32" i="43"/>
  <c r="S36" i="37"/>
  <c r="R4" i="33"/>
  <c r="R4" i="31"/>
  <c r="AC25" i="24"/>
  <c r="AG33" i="23"/>
  <c r="AG33" i="24" s="1"/>
  <c r="AH33" i="23"/>
  <c r="AH33" i="24" s="1"/>
  <c r="AM37" i="24"/>
  <c r="W37" i="23"/>
  <c r="W37" i="24" s="1"/>
  <c r="G33" i="23"/>
  <c r="G33" i="24" s="1"/>
  <c r="AF29" i="23"/>
  <c r="AF29" i="24" s="1"/>
  <c r="AE29" i="23"/>
  <c r="AE29" i="24" s="1"/>
  <c r="T17" i="23"/>
  <c r="T17" i="24" s="1"/>
  <c r="M25" i="23"/>
  <c r="D25" i="23"/>
  <c r="D29" i="23"/>
  <c r="D29" i="24" s="1"/>
  <c r="N29" i="23"/>
  <c r="N29" i="24" s="1"/>
  <c r="AD21" i="23"/>
  <c r="AD21" i="24" s="1"/>
  <c r="AE25" i="23"/>
  <c r="AE25" i="24" s="1"/>
  <c r="L21" i="23"/>
  <c r="L21" i="24" s="1"/>
  <c r="F21" i="23"/>
  <c r="F21" i="24" s="1"/>
  <c r="AO42" i="24"/>
  <c r="AB33" i="23"/>
  <c r="AB33" i="24" s="1"/>
  <c r="AB25" i="23"/>
  <c r="AA33" i="23"/>
  <c r="AA33" i="24" s="1"/>
  <c r="Y29" i="23"/>
  <c r="Y29" i="24" s="1"/>
  <c r="X33" i="23"/>
  <c r="X33" i="24" s="1"/>
  <c r="X25" i="23"/>
  <c r="X25" i="24" s="1"/>
  <c r="R29" i="23"/>
  <c r="R29" i="24" s="1"/>
  <c r="J33" i="23"/>
  <c r="J33" i="24" s="1"/>
  <c r="F33" i="23"/>
  <c r="F33" i="24" s="1"/>
  <c r="AI23" i="23"/>
  <c r="AI23" i="24" s="1"/>
  <c r="V41" i="23"/>
  <c r="V41" i="24" s="1"/>
  <c r="B37" i="23"/>
  <c r="K33" i="23"/>
  <c r="K33" i="24" s="1"/>
  <c r="V29" i="23"/>
  <c r="V29" i="24" s="1"/>
  <c r="Y25" i="23"/>
  <c r="S17" i="23"/>
  <c r="S17" i="24" s="1"/>
  <c r="G13" i="23"/>
  <c r="G13" i="24" s="1"/>
  <c r="AN17" i="23"/>
  <c r="AQ17" i="23" s="1"/>
  <c r="H33" i="23"/>
  <c r="H33" i="24" s="1"/>
  <c r="AN31" i="23"/>
  <c r="AQ31" i="23" s="1"/>
  <c r="Q17" i="23"/>
  <c r="Q17" i="24" s="1"/>
  <c r="P25" i="23"/>
  <c r="P25" i="24" s="1"/>
  <c r="J25" i="23"/>
  <c r="M29" i="23"/>
  <c r="M29" i="24" s="1"/>
  <c r="AC41" i="23"/>
  <c r="AC41" i="24" s="1"/>
  <c r="H21" i="23"/>
  <c r="H21" i="24" s="1"/>
  <c r="Y21" i="23"/>
  <c r="Y21" i="24" s="1"/>
  <c r="R21" i="23"/>
  <c r="R21" i="24" s="1"/>
  <c r="AN28" i="23"/>
  <c r="AQ28" i="23" s="1"/>
  <c r="AN11" i="23"/>
  <c r="AQ11" i="23" s="1"/>
  <c r="AA21" i="23"/>
  <c r="AA21" i="24" s="1"/>
  <c r="W21" i="23"/>
  <c r="W21" i="24" s="1"/>
  <c r="W25" i="23"/>
  <c r="V17" i="23"/>
  <c r="V17" i="24" s="1"/>
  <c r="V25" i="23"/>
  <c r="V25" i="24" s="1"/>
  <c r="S29" i="23"/>
  <c r="S29" i="24" s="1"/>
  <c r="N41" i="23"/>
  <c r="N41" i="24" s="1"/>
  <c r="L33" i="23"/>
  <c r="L33" i="24" s="1"/>
  <c r="I21" i="23"/>
  <c r="I21" i="24" s="1"/>
  <c r="D33" i="23"/>
  <c r="D33" i="24" s="1"/>
  <c r="AI35" i="23"/>
  <c r="AI35" i="24" s="1"/>
  <c r="AI11" i="23"/>
  <c r="AD17" i="23"/>
  <c r="AD17" i="24" s="1"/>
  <c r="L17" i="23"/>
  <c r="L17" i="24" s="1"/>
  <c r="N25" i="23"/>
  <c r="N25" i="24" s="1"/>
  <c r="C25" i="23"/>
  <c r="C25" i="24" s="1"/>
  <c r="G29" i="23"/>
  <c r="G29" i="24" s="1"/>
  <c r="AM29" i="24"/>
  <c r="E21" i="23"/>
  <c r="E21" i="24" s="1"/>
  <c r="X21" i="23"/>
  <c r="X21" i="24" s="1"/>
  <c r="Q21" i="23"/>
  <c r="Q21" i="24" s="1"/>
  <c r="AN21" i="23"/>
  <c r="AQ21" i="23" s="1"/>
  <c r="AA37" i="23"/>
  <c r="AA37" i="24" s="1"/>
  <c r="Z21" i="23"/>
  <c r="Z21" i="24" s="1"/>
  <c r="U21" i="23"/>
  <c r="U21" i="24" s="1"/>
  <c r="N17" i="23"/>
  <c r="N17" i="24" s="1"/>
  <c r="AO44" i="23"/>
  <c r="AI39" i="23"/>
  <c r="AI39" i="24" s="1"/>
  <c r="AI15" i="23"/>
  <c r="AI15" i="24" s="1"/>
  <c r="Y25" i="24"/>
  <c r="AG28" i="23"/>
  <c r="AG28" i="24" s="1"/>
  <c r="AH51" i="22"/>
  <c r="AH52" i="22" s="1"/>
  <c r="AH53" i="22" s="1"/>
  <c r="Z40" i="23"/>
  <c r="Z40" i="24" s="1"/>
  <c r="I40" i="23"/>
  <c r="I40" i="24" s="1"/>
  <c r="AD40" i="23"/>
  <c r="AD40" i="24" s="1"/>
  <c r="AB51" i="22"/>
  <c r="AB52" i="22" s="1"/>
  <c r="AB53" i="22" s="1"/>
  <c r="O25" i="24"/>
  <c r="L28" i="23"/>
  <c r="L28" i="24" s="1"/>
  <c r="B28" i="24"/>
  <c r="J32" i="23"/>
  <c r="J32" i="24" s="1"/>
  <c r="F12" i="23"/>
  <c r="F12" i="24" s="1"/>
  <c r="AL31" i="22"/>
  <c r="AD28" i="23"/>
  <c r="AD28" i="24" s="1"/>
  <c r="AP40" i="22"/>
  <c r="AP32" i="22"/>
  <c r="AL40" i="22"/>
  <c r="AL32" i="22"/>
  <c r="AL41" i="22"/>
  <c r="AB40" i="23"/>
  <c r="AB40" i="24" s="1"/>
  <c r="AA28" i="23"/>
  <c r="AA28" i="24" s="1"/>
  <c r="W36" i="23"/>
  <c r="W36" i="24" s="1"/>
  <c r="V32" i="23"/>
  <c r="V32" i="24" s="1"/>
  <c r="T36" i="23"/>
  <c r="T36" i="24" s="1"/>
  <c r="P40" i="23"/>
  <c r="P40" i="24" s="1"/>
  <c r="P28" i="23"/>
  <c r="P28" i="24" s="1"/>
  <c r="O36" i="23"/>
  <c r="O36" i="24" s="1"/>
  <c r="N20" i="23"/>
  <c r="N20" i="24" s="1"/>
  <c r="AE12" i="23"/>
  <c r="AE12" i="24" s="1"/>
  <c r="AG40" i="23"/>
  <c r="AG40" i="24" s="1"/>
  <c r="AG29" i="23"/>
  <c r="AG29" i="24" s="1"/>
  <c r="AG24" i="23"/>
  <c r="AG24" i="24" s="1"/>
  <c r="AG20" i="23"/>
  <c r="AG20" i="24" s="1"/>
  <c r="AG16" i="23"/>
  <c r="AG16" i="24" s="1"/>
  <c r="AG44" i="24" s="1"/>
  <c r="G86" i="27" s="1"/>
  <c r="AH25" i="23"/>
  <c r="AH17" i="23"/>
  <c r="AH17" i="24" s="1"/>
  <c r="AG51" i="22"/>
  <c r="AG52" i="22" s="1"/>
  <c r="AG53" i="22" s="1"/>
  <c r="AH36" i="23"/>
  <c r="AH36" i="24" s="1"/>
  <c r="AH12" i="23"/>
  <c r="AH12" i="24" s="1"/>
  <c r="AF40" i="23"/>
  <c r="AF40" i="24" s="1"/>
  <c r="J40" i="23"/>
  <c r="J40" i="24" s="1"/>
  <c r="D40" i="23"/>
  <c r="D40" i="24" s="1"/>
  <c r="N37" i="23"/>
  <c r="N37" i="24" s="1"/>
  <c r="V40" i="23"/>
  <c r="V40" i="24" s="1"/>
  <c r="X40" i="23"/>
  <c r="X40" i="24" s="1"/>
  <c r="AA40" i="23"/>
  <c r="AA40" i="24" s="1"/>
  <c r="U33" i="23"/>
  <c r="U33" i="24" s="1"/>
  <c r="C33" i="23"/>
  <c r="C33" i="24" s="1"/>
  <c r="U29" i="23"/>
  <c r="U29" i="24" s="1"/>
  <c r="E16" i="23"/>
  <c r="E16" i="24" s="1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E24" i="23"/>
  <c r="AE24" i="24" s="1"/>
  <c r="AE32" i="23"/>
  <c r="AE32" i="24" s="1"/>
  <c r="AE21" i="23"/>
  <c r="AE21" i="24" s="1"/>
  <c r="H17" i="23"/>
  <c r="H17" i="24" s="1"/>
  <c r="P17" i="23"/>
  <c r="P17" i="24" s="1"/>
  <c r="AB17" i="23"/>
  <c r="AB17" i="24" s="1"/>
  <c r="AB44" i="24" s="1"/>
  <c r="G81" i="27" s="1"/>
  <c r="F81" i="27" s="1"/>
  <c r="I25" i="23"/>
  <c r="I25" i="24" s="1"/>
  <c r="R25" i="23"/>
  <c r="R25" i="24" s="1"/>
  <c r="E25" i="23"/>
  <c r="E25" i="24" s="1"/>
  <c r="K25" i="23"/>
  <c r="K25" i="24" s="1"/>
  <c r="F28" i="23"/>
  <c r="F28" i="24" s="1"/>
  <c r="K28" i="23"/>
  <c r="K28" i="24" s="1"/>
  <c r="S28" i="23"/>
  <c r="S28" i="24" s="1"/>
  <c r="C29" i="23"/>
  <c r="C29" i="24" s="1"/>
  <c r="L29" i="23"/>
  <c r="L29" i="24" s="1"/>
  <c r="Q29" i="23"/>
  <c r="Q29" i="24" s="1"/>
  <c r="I32" i="23"/>
  <c r="I32" i="24" s="1"/>
  <c r="Q32" i="23"/>
  <c r="Q32" i="24" s="1"/>
  <c r="AF32" i="23"/>
  <c r="AF32" i="24" s="1"/>
  <c r="AE17" i="23"/>
  <c r="AE17" i="24" s="1"/>
  <c r="AL14" i="22"/>
  <c r="C12" i="23"/>
  <c r="C12" i="24" s="1"/>
  <c r="L12" i="23"/>
  <c r="L12" i="24" s="1"/>
  <c r="T12" i="23"/>
  <c r="T12" i="24" s="1"/>
  <c r="Y12" i="23"/>
  <c r="Y12" i="24" s="1"/>
  <c r="Y42" i="24" s="1"/>
  <c r="AL15" i="22"/>
  <c r="AC16" i="23"/>
  <c r="AC16" i="24" s="1"/>
  <c r="AL18" i="22"/>
  <c r="O20" i="23"/>
  <c r="O20" i="24" s="1"/>
  <c r="B21" i="23"/>
  <c r="K21" i="23"/>
  <c r="K21" i="24" s="1"/>
  <c r="T21" i="23"/>
  <c r="T21" i="24" s="1"/>
  <c r="AF21" i="23"/>
  <c r="AF21" i="24" s="1"/>
  <c r="P21" i="23"/>
  <c r="P21" i="24" s="1"/>
  <c r="T25" i="23"/>
  <c r="AL29" i="22"/>
  <c r="AC37" i="23"/>
  <c r="AC37" i="24" s="1"/>
  <c r="AC32" i="23"/>
  <c r="AC32" i="24" s="1"/>
  <c r="AP41" i="22"/>
  <c r="AP37" i="22"/>
  <c r="AP33" i="22"/>
  <c r="AP28" i="22"/>
  <c r="AP24" i="22"/>
  <c r="AP20" i="22"/>
  <c r="AP16" i="22"/>
  <c r="AP12" i="22"/>
  <c r="AL37" i="22"/>
  <c r="AL33" i="22"/>
  <c r="AL26" i="22"/>
  <c r="AL13" i="22"/>
  <c r="AF28" i="23"/>
  <c r="AF28" i="24" s="1"/>
  <c r="AB24" i="23"/>
  <c r="AB24" i="24" s="1"/>
  <c r="AA29" i="23"/>
  <c r="AA29" i="24" s="1"/>
  <c r="Z17" i="23"/>
  <c r="Z17" i="24" s="1"/>
  <c r="Z36" i="23"/>
  <c r="Z36" i="24" s="1"/>
  <c r="Z25" i="23"/>
  <c r="Y16" i="23"/>
  <c r="Y16" i="24" s="1"/>
  <c r="Y36" i="23"/>
  <c r="Y36" i="24" s="1"/>
  <c r="Y32" i="23"/>
  <c r="Y32" i="24" s="1"/>
  <c r="Y41" i="23"/>
  <c r="Y41" i="24" s="1"/>
  <c r="W17" i="23"/>
  <c r="W17" i="24" s="1"/>
  <c r="W32" i="23"/>
  <c r="W32" i="24" s="1"/>
  <c r="V21" i="23"/>
  <c r="V21" i="24" s="1"/>
  <c r="V33" i="23"/>
  <c r="V33" i="24" s="1"/>
  <c r="V28" i="23"/>
  <c r="V28" i="24" s="1"/>
  <c r="U36" i="23"/>
  <c r="U36" i="24" s="1"/>
  <c r="U25" i="23"/>
  <c r="T20" i="23"/>
  <c r="T20" i="24" s="1"/>
  <c r="T32" i="23"/>
  <c r="T32" i="24" s="1"/>
  <c r="S33" i="23"/>
  <c r="S33" i="24" s="1"/>
  <c r="R24" i="23"/>
  <c r="R24" i="24" s="1"/>
  <c r="R40" i="23"/>
  <c r="R40" i="24" s="1"/>
  <c r="R33" i="23"/>
  <c r="R33" i="24" s="1"/>
  <c r="Q36" i="23"/>
  <c r="Q36" i="24" s="1"/>
  <c r="Q28" i="23"/>
  <c r="Q28" i="24" s="1"/>
  <c r="P33" i="23"/>
  <c r="P33" i="24" s="1"/>
  <c r="O16" i="23"/>
  <c r="O16" i="24" s="1"/>
  <c r="O37" i="23"/>
  <c r="O37" i="24" s="1"/>
  <c r="N32" i="23"/>
  <c r="N32" i="24" s="1"/>
  <c r="M36" i="23"/>
  <c r="M36" i="24" s="1"/>
  <c r="M41" i="23"/>
  <c r="M41" i="24" s="1"/>
  <c r="L36" i="23"/>
  <c r="L36" i="24" s="1"/>
  <c r="K12" i="23"/>
  <c r="K12" i="24" s="1"/>
  <c r="J41" i="23"/>
  <c r="J41" i="24" s="1"/>
  <c r="I41" i="23"/>
  <c r="I41" i="24" s="1"/>
  <c r="H36" i="23"/>
  <c r="H36" i="24" s="1"/>
  <c r="G17" i="23"/>
  <c r="G17" i="24" s="1"/>
  <c r="G12" i="23"/>
  <c r="G12" i="24" s="1"/>
  <c r="F17" i="23"/>
  <c r="F17" i="24" s="1"/>
  <c r="E32" i="23"/>
  <c r="E32" i="24" s="1"/>
  <c r="C21" i="23"/>
  <c r="C21" i="24" s="1"/>
  <c r="C36" i="23"/>
  <c r="C36" i="24" s="1"/>
  <c r="AH32" i="23"/>
  <c r="AH32" i="24" s="1"/>
  <c r="Z32" i="23"/>
  <c r="Z32" i="24" s="1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E40" i="23"/>
  <c r="AE40" i="24" s="1"/>
  <c r="AE36" i="23"/>
  <c r="AE36" i="24" s="1"/>
  <c r="G28" i="23"/>
  <c r="G28" i="24" s="1"/>
  <c r="Y28" i="23"/>
  <c r="Y28" i="24" s="1"/>
  <c r="B32" i="23"/>
  <c r="R32" i="23"/>
  <c r="R32" i="24" s="1"/>
  <c r="AL16" i="22"/>
  <c r="N12" i="23"/>
  <c r="N12" i="24" s="1"/>
  <c r="V12" i="23"/>
  <c r="V12" i="24" s="1"/>
  <c r="AA12" i="23"/>
  <c r="AA12" i="24" s="1"/>
  <c r="AL20" i="22"/>
  <c r="AL25" i="22"/>
  <c r="AD36" i="23"/>
  <c r="AD36" i="24" s="1"/>
  <c r="AP36" i="22"/>
  <c r="AL36" i="22"/>
  <c r="AL23" i="22"/>
  <c r="S36" i="23"/>
  <c r="S36" i="24" s="1"/>
  <c r="S32" i="23"/>
  <c r="S32" i="24" s="1"/>
  <c r="Q12" i="23"/>
  <c r="Q12" i="24" s="1"/>
  <c r="O28" i="23"/>
  <c r="O28" i="24" s="1"/>
  <c r="N40" i="23"/>
  <c r="N40" i="24" s="1"/>
  <c r="H28" i="23"/>
  <c r="H28" i="24" s="1"/>
  <c r="G40" i="23"/>
  <c r="G40" i="24" s="1"/>
  <c r="E40" i="23"/>
  <c r="E40" i="24" s="1"/>
  <c r="E28" i="23"/>
  <c r="E28" i="24" s="1"/>
  <c r="C28" i="23"/>
  <c r="C28" i="24" s="1"/>
  <c r="AG36" i="23"/>
  <c r="AG36" i="24" s="1"/>
  <c r="AG25" i="23"/>
  <c r="AG21" i="23"/>
  <c r="AG21" i="24" s="1"/>
  <c r="AG17" i="23"/>
  <c r="AG17" i="24" s="1"/>
  <c r="AG12" i="23"/>
  <c r="AG12" i="24" s="1"/>
  <c r="AH41" i="23"/>
  <c r="AH41" i="24" s="1"/>
  <c r="AH29" i="23"/>
  <c r="AH29" i="24" s="1"/>
  <c r="AH28" i="23"/>
  <c r="AH28" i="24" s="1"/>
  <c r="K40" i="23"/>
  <c r="K40" i="24" s="1"/>
  <c r="B40" i="23"/>
  <c r="Z37" i="23"/>
  <c r="Z37" i="24" s="1"/>
  <c r="B13" i="23"/>
  <c r="I37" i="23"/>
  <c r="I37" i="24" s="1"/>
  <c r="O40" i="23"/>
  <c r="O40" i="24" s="1"/>
  <c r="Z33" i="23"/>
  <c r="Z33" i="24" s="1"/>
  <c r="E33" i="23"/>
  <c r="E33" i="24" s="1"/>
  <c r="F32" i="23"/>
  <c r="F32" i="24" s="1"/>
  <c r="Z29" i="23"/>
  <c r="Z29" i="24" s="1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D32" i="23"/>
  <c r="D32" i="24" s="1"/>
  <c r="S25" i="23"/>
  <c r="AE33" i="23"/>
  <c r="AE33" i="24" s="1"/>
  <c r="E17" i="23"/>
  <c r="E17" i="24" s="1"/>
  <c r="M17" i="23"/>
  <c r="M17" i="24" s="1"/>
  <c r="U17" i="23"/>
  <c r="U17" i="24" s="1"/>
  <c r="L25" i="23"/>
  <c r="F25" i="23"/>
  <c r="G25" i="23"/>
  <c r="J28" i="23"/>
  <c r="J28" i="24" s="1"/>
  <c r="N28" i="23"/>
  <c r="N28" i="24" s="1"/>
  <c r="B29" i="23"/>
  <c r="H29" i="23"/>
  <c r="H29" i="24" s="1"/>
  <c r="O29" i="23"/>
  <c r="O29" i="24" s="1"/>
  <c r="G32" i="23"/>
  <c r="G32" i="24" s="1"/>
  <c r="P32" i="23"/>
  <c r="P32" i="24" s="1"/>
  <c r="X32" i="23"/>
  <c r="X32" i="24" s="1"/>
  <c r="AD29" i="23"/>
  <c r="AD29" i="24" s="1"/>
  <c r="AK44" i="22"/>
  <c r="AJ45" i="22" s="1"/>
  <c r="AJ46" i="22" s="1"/>
  <c r="AJ47" i="22" s="1"/>
  <c r="AL12" i="22"/>
  <c r="D12" i="23"/>
  <c r="D12" i="24" s="1"/>
  <c r="J12" i="23"/>
  <c r="J12" i="24" s="1"/>
  <c r="R12" i="23"/>
  <c r="R12" i="24" s="1"/>
  <c r="X12" i="23"/>
  <c r="X12" i="24" s="1"/>
  <c r="AK42" i="22"/>
  <c r="AP42" i="22" s="1"/>
  <c r="AL24" i="22"/>
  <c r="D20" i="23"/>
  <c r="D20" i="24" s="1"/>
  <c r="D21" i="23"/>
  <c r="D21" i="24" s="1"/>
  <c r="J21" i="23"/>
  <c r="J21" i="24" s="1"/>
  <c r="N21" i="23"/>
  <c r="N21" i="24" s="1"/>
  <c r="AB21" i="23"/>
  <c r="AB21" i="24" s="1"/>
  <c r="O21" i="23"/>
  <c r="O21" i="24" s="1"/>
  <c r="S21" i="23"/>
  <c r="S21" i="24" s="1"/>
  <c r="B25" i="23"/>
  <c r="AC29" i="23"/>
  <c r="AC29" i="24" s="1"/>
  <c r="AL27" i="22"/>
  <c r="AC40" i="23"/>
  <c r="AC40" i="24" s="1"/>
  <c r="AD32" i="23"/>
  <c r="AD32" i="24" s="1"/>
  <c r="AP29" i="22"/>
  <c r="AP25" i="22"/>
  <c r="AP17" i="22"/>
  <c r="AP13" i="22"/>
  <c r="AL38" i="22"/>
  <c r="AL34" i="22"/>
  <c r="AL28" i="22"/>
  <c r="AL17" i="22"/>
  <c r="AF25" i="23"/>
  <c r="AB12" i="23"/>
  <c r="AB12" i="24" s="1"/>
  <c r="AB36" i="23"/>
  <c r="AB36" i="24" s="1"/>
  <c r="AB29" i="23"/>
  <c r="AB29" i="24" s="1"/>
  <c r="AA24" i="23"/>
  <c r="AA24" i="24" s="1"/>
  <c r="AA20" i="23"/>
  <c r="AA20" i="24" s="1"/>
  <c r="AA36" i="23"/>
  <c r="AA36" i="24" s="1"/>
  <c r="AA25" i="23"/>
  <c r="Z12" i="23"/>
  <c r="Z12" i="24" s="1"/>
  <c r="Y17" i="23"/>
  <c r="Y17" i="24" s="1"/>
  <c r="Y33" i="23"/>
  <c r="Y33" i="24" s="1"/>
  <c r="X20" i="23"/>
  <c r="X20" i="24" s="1"/>
  <c r="X36" i="23"/>
  <c r="X36" i="24" s="1"/>
  <c r="X28" i="23"/>
  <c r="X28" i="24" s="1"/>
  <c r="W20" i="23"/>
  <c r="W20" i="24" s="1"/>
  <c r="W40" i="23"/>
  <c r="W40" i="24" s="1"/>
  <c r="W33" i="23"/>
  <c r="W33" i="24" s="1"/>
  <c r="W28" i="23"/>
  <c r="W28" i="24" s="1"/>
  <c r="T13" i="23"/>
  <c r="T13" i="24" s="1"/>
  <c r="T33" i="23"/>
  <c r="T33" i="24" s="1"/>
  <c r="T28" i="23"/>
  <c r="T28" i="24" s="1"/>
  <c r="S40" i="23"/>
  <c r="S40" i="24" s="1"/>
  <c r="Q33" i="23"/>
  <c r="Q33" i="24" s="1"/>
  <c r="N33" i="23"/>
  <c r="N33" i="24" s="1"/>
  <c r="M40" i="23"/>
  <c r="M40" i="24" s="1"/>
  <c r="J36" i="23"/>
  <c r="J36" i="24" s="1"/>
  <c r="I36" i="23"/>
  <c r="I36" i="24" s="1"/>
  <c r="B17" i="23"/>
  <c r="Q25" i="23"/>
  <c r="E29" i="23"/>
  <c r="E29" i="24" s="1"/>
  <c r="AI33" i="23"/>
  <c r="AI33" i="24" s="1"/>
  <c r="Y37" i="23"/>
  <c r="Y37" i="24" s="1"/>
  <c r="AE41" i="23"/>
  <c r="AE41" i="24" s="1"/>
  <c r="AI31" i="23"/>
  <c r="AI31" i="24" s="1"/>
  <c r="AG41" i="23"/>
  <c r="AG41" i="24" s="1"/>
  <c r="AG37" i="23"/>
  <c r="AG37" i="24" s="1"/>
  <c r="AG13" i="23"/>
  <c r="AG13" i="24" s="1"/>
  <c r="AH27" i="23"/>
  <c r="AH27" i="24" s="1"/>
  <c r="AH24" i="23"/>
  <c r="AH24" i="24" s="1"/>
  <c r="AH16" i="23"/>
  <c r="AH16" i="24" s="1"/>
  <c r="AE34" i="23"/>
  <c r="AE34" i="24" s="1"/>
  <c r="AF37" i="23"/>
  <c r="AF37" i="24" s="1"/>
  <c r="G37" i="23"/>
  <c r="G37" i="24" s="1"/>
  <c r="C37" i="23"/>
  <c r="C37" i="24" s="1"/>
  <c r="AN14" i="23"/>
  <c r="AQ14" i="23" s="1"/>
  <c r="K13" i="23"/>
  <c r="K13" i="24" s="1"/>
  <c r="AM13" i="24"/>
  <c r="R37" i="23"/>
  <c r="R37" i="24" s="1"/>
  <c r="AB37" i="23"/>
  <c r="AB37" i="24" s="1"/>
  <c r="AN12" i="23"/>
  <c r="AQ12" i="23" s="1"/>
  <c r="D44" i="21"/>
  <c r="I57" i="27" s="1"/>
  <c r="I57" i="25" s="1"/>
  <c r="AN38" i="23"/>
  <c r="AQ38" i="23" s="1"/>
  <c r="U31" i="23"/>
  <c r="U31" i="24" s="1"/>
  <c r="E31" i="23"/>
  <c r="E31" i="24" s="1"/>
  <c r="AN29" i="23"/>
  <c r="AQ29" i="23" s="1"/>
  <c r="Z24" i="23"/>
  <c r="Z24" i="24" s="1"/>
  <c r="Z16" i="23"/>
  <c r="Z16" i="24" s="1"/>
  <c r="F16" i="23"/>
  <c r="F16" i="24" s="1"/>
  <c r="B16" i="23"/>
  <c r="H44" i="21"/>
  <c r="I61" i="27" s="1"/>
  <c r="I61" i="25" s="1"/>
  <c r="O11" i="24"/>
  <c r="AN37" i="23"/>
  <c r="AQ37" i="23" s="1"/>
  <c r="B24" i="23"/>
  <c r="AN39" i="23"/>
  <c r="AQ39" i="23" s="1"/>
  <c r="AE31" i="23"/>
  <c r="AE31" i="24" s="1"/>
  <c r="R11" i="24"/>
  <c r="AM31" i="24"/>
  <c r="B42" i="21"/>
  <c r="AD44" i="21"/>
  <c r="I83" i="27" s="1"/>
  <c r="AC20" i="23"/>
  <c r="AC20" i="24" s="1"/>
  <c r="M20" i="23"/>
  <c r="M20" i="24" s="1"/>
  <c r="R20" i="23"/>
  <c r="R20" i="24" s="1"/>
  <c r="AN26" i="23"/>
  <c r="AD37" i="23"/>
  <c r="AD37" i="24" s="1"/>
  <c r="AD31" i="23"/>
  <c r="AD31" i="24" s="1"/>
  <c r="AO49" i="23"/>
  <c r="AN22" i="23"/>
  <c r="AQ22" i="23" s="1"/>
  <c r="AN13" i="23"/>
  <c r="AQ13" i="23" s="1"/>
  <c r="AF45" i="21"/>
  <c r="I85" i="26" s="1"/>
  <c r="Y45" i="21"/>
  <c r="I78" i="26" s="1"/>
  <c r="AF20" i="23"/>
  <c r="AF20" i="24" s="1"/>
  <c r="AF41" i="23"/>
  <c r="AF41" i="24" s="1"/>
  <c r="AB20" i="23"/>
  <c r="AB20" i="24" s="1"/>
  <c r="AB34" i="23"/>
  <c r="AB34" i="24" s="1"/>
  <c r="AB41" i="23"/>
  <c r="AB41" i="24" s="1"/>
  <c r="AA16" i="23"/>
  <c r="AA16" i="24" s="1"/>
  <c r="AA34" i="23"/>
  <c r="AA34" i="24" s="1"/>
  <c r="Z27" i="23"/>
  <c r="Z27" i="24" s="1"/>
  <c r="Y24" i="23"/>
  <c r="Y24" i="24" s="1"/>
  <c r="Y13" i="23"/>
  <c r="Y13" i="24" s="1"/>
  <c r="Y31" i="23"/>
  <c r="Y31" i="24" s="1"/>
  <c r="X16" i="23"/>
  <c r="X16" i="24" s="1"/>
  <c r="X34" i="23"/>
  <c r="X34" i="24" s="1"/>
  <c r="X41" i="23"/>
  <c r="X41" i="24" s="1"/>
  <c r="W27" i="23"/>
  <c r="W27" i="24" s="1"/>
  <c r="V24" i="23"/>
  <c r="V24" i="24" s="1"/>
  <c r="V20" i="23"/>
  <c r="V20" i="24" s="1"/>
  <c r="V37" i="23"/>
  <c r="V37" i="24" s="1"/>
  <c r="U34" i="23"/>
  <c r="U34" i="24" s="1"/>
  <c r="T27" i="23"/>
  <c r="T27" i="24" s="1"/>
  <c r="S16" i="23"/>
  <c r="S16" i="24" s="1"/>
  <c r="S31" i="23"/>
  <c r="S31" i="24" s="1"/>
  <c r="S41" i="23"/>
  <c r="S41" i="24" s="1"/>
  <c r="R31" i="23"/>
  <c r="R31" i="24" s="1"/>
  <c r="Q16" i="23"/>
  <c r="Q16" i="24" s="1"/>
  <c r="L31" i="23"/>
  <c r="L31" i="24" s="1"/>
  <c r="K41" i="23"/>
  <c r="K41" i="24" s="1"/>
  <c r="H16" i="23"/>
  <c r="H16" i="24" s="1"/>
  <c r="H34" i="23"/>
  <c r="H34" i="24" s="1"/>
  <c r="G24" i="23"/>
  <c r="G24" i="24" s="1"/>
  <c r="G27" i="23"/>
  <c r="G27" i="24" s="1"/>
  <c r="F31" i="23"/>
  <c r="F31" i="24" s="1"/>
  <c r="E24" i="23"/>
  <c r="E24" i="24" s="1"/>
  <c r="C31" i="23"/>
  <c r="C31" i="24" s="1"/>
  <c r="B41" i="23"/>
  <c r="B27" i="23"/>
  <c r="AM41" i="24"/>
  <c r="AD27" i="23"/>
  <c r="AD27" i="24" s="1"/>
  <c r="D34" i="23"/>
  <c r="D34" i="24" s="1"/>
  <c r="D37" i="23"/>
  <c r="D37" i="24" s="1"/>
  <c r="AI41" i="23"/>
  <c r="AI41" i="24" s="1"/>
  <c r="AI36" i="23"/>
  <c r="AI36" i="24" s="1"/>
  <c r="AI28" i="23"/>
  <c r="AI28" i="24" s="1"/>
  <c r="AI24" i="23"/>
  <c r="AI24" i="24" s="1"/>
  <c r="AI20" i="23"/>
  <c r="AI20" i="24" s="1"/>
  <c r="AI16" i="23"/>
  <c r="AI16" i="24" s="1"/>
  <c r="AI12" i="23"/>
  <c r="AI12" i="24" s="1"/>
  <c r="AI44" i="21"/>
  <c r="I88" i="27" s="1"/>
  <c r="I88" i="25" s="1"/>
  <c r="AI11" i="24"/>
  <c r="AG34" i="23"/>
  <c r="AG34" i="24" s="1"/>
  <c r="AH37" i="23"/>
  <c r="AH37" i="24" s="1"/>
  <c r="AH13" i="23"/>
  <c r="AH13" i="24" s="1"/>
  <c r="AH34" i="23"/>
  <c r="AH34" i="24" s="1"/>
  <c r="B38" i="24"/>
  <c r="AK38" i="24" s="1"/>
  <c r="AM34" i="24"/>
  <c r="H37" i="23"/>
  <c r="H37" i="24" s="1"/>
  <c r="AN15" i="23"/>
  <c r="AQ15" i="23" s="1"/>
  <c r="U13" i="23"/>
  <c r="U13" i="24" s="1"/>
  <c r="C13" i="23"/>
  <c r="C13" i="24" s="1"/>
  <c r="J13" i="23"/>
  <c r="J13" i="24" s="1"/>
  <c r="M37" i="23"/>
  <c r="M37" i="24" s="1"/>
  <c r="N13" i="23"/>
  <c r="N13" i="24" s="1"/>
  <c r="P37" i="23"/>
  <c r="P37" i="24" s="1"/>
  <c r="S37" i="23"/>
  <c r="S37" i="24" s="1"/>
  <c r="W13" i="23"/>
  <c r="W13" i="24" s="1"/>
  <c r="AA13" i="23"/>
  <c r="AA13" i="24" s="1"/>
  <c r="AN32" i="23"/>
  <c r="AQ32" i="23" s="1"/>
  <c r="Z31" i="23"/>
  <c r="Z31" i="24" s="1"/>
  <c r="H31" i="23"/>
  <c r="H31" i="24" s="1"/>
  <c r="AF24" i="23"/>
  <c r="AF24" i="24" s="1"/>
  <c r="AF16" i="23"/>
  <c r="AF16" i="24" s="1"/>
  <c r="G16" i="23"/>
  <c r="G16" i="24" s="1"/>
  <c r="AE16" i="23"/>
  <c r="AE16" i="24" s="1"/>
  <c r="P44" i="21"/>
  <c r="I69" i="27" s="1"/>
  <c r="I69" i="25" s="1"/>
  <c r="C11" i="24"/>
  <c r="AN41" i="23"/>
  <c r="AQ41" i="23" s="1"/>
  <c r="B31" i="23"/>
  <c r="I67" i="25"/>
  <c r="B11" i="24"/>
  <c r="AE20" i="23"/>
  <c r="AE20" i="24" s="1"/>
  <c r="J42" i="21"/>
  <c r="R42" i="21"/>
  <c r="AC44" i="21"/>
  <c r="I82" i="27" s="1"/>
  <c r="I82" i="25" s="1"/>
  <c r="L20" i="23"/>
  <c r="L20" i="24" s="1"/>
  <c r="Q20" i="23"/>
  <c r="Q20" i="24" s="1"/>
  <c r="AC27" i="23"/>
  <c r="AC27" i="24" s="1"/>
  <c r="AM16" i="24"/>
  <c r="AD24" i="23"/>
  <c r="AD24" i="24" s="1"/>
  <c r="AC34" i="23"/>
  <c r="AC34" i="24" s="1"/>
  <c r="AN23" i="23"/>
  <c r="AQ23" i="23" s="1"/>
  <c r="AN16" i="23"/>
  <c r="AQ16" i="23" s="1"/>
  <c r="AM44" i="23"/>
  <c r="V42" i="21"/>
  <c r="AF34" i="23"/>
  <c r="AF34" i="24" s="1"/>
  <c r="AB31" i="23"/>
  <c r="AB31" i="24" s="1"/>
  <c r="AA31" i="23"/>
  <c r="AA31" i="24" s="1"/>
  <c r="AA27" i="23"/>
  <c r="AA27" i="24" s="1"/>
  <c r="Z41" i="23"/>
  <c r="Z41" i="24" s="1"/>
  <c r="Y20" i="23"/>
  <c r="Y20" i="24" s="1"/>
  <c r="W16" i="23"/>
  <c r="W16" i="24" s="1"/>
  <c r="W41" i="23"/>
  <c r="W41" i="24" s="1"/>
  <c r="V16" i="23"/>
  <c r="V16" i="24" s="1"/>
  <c r="V34" i="23"/>
  <c r="V34" i="24" s="1"/>
  <c r="T37" i="23"/>
  <c r="T37" i="24" s="1"/>
  <c r="S24" i="23"/>
  <c r="S24" i="24" s="1"/>
  <c r="S13" i="23"/>
  <c r="S13" i="24" s="1"/>
  <c r="R16" i="23"/>
  <c r="R16" i="24" s="1"/>
  <c r="Q13" i="23"/>
  <c r="Q13" i="24" s="1"/>
  <c r="Q31" i="23"/>
  <c r="Q31" i="24" s="1"/>
  <c r="P24" i="23"/>
  <c r="P24" i="24" s="1"/>
  <c r="P31" i="23"/>
  <c r="P31" i="24" s="1"/>
  <c r="O24" i="23"/>
  <c r="O24" i="24" s="1"/>
  <c r="O34" i="23"/>
  <c r="O34" i="24" s="1"/>
  <c r="O41" i="23"/>
  <c r="O41" i="24" s="1"/>
  <c r="N34" i="23"/>
  <c r="N34" i="24" s="1"/>
  <c r="N27" i="23"/>
  <c r="N27" i="24" s="1"/>
  <c r="M31" i="23"/>
  <c r="M31" i="24" s="1"/>
  <c r="L37" i="23"/>
  <c r="L37" i="24" s="1"/>
  <c r="K24" i="23"/>
  <c r="K24" i="24" s="1"/>
  <c r="K34" i="23"/>
  <c r="K34" i="24" s="1"/>
  <c r="J27" i="23"/>
  <c r="J27" i="24" s="1"/>
  <c r="H41" i="23"/>
  <c r="H41" i="24" s="1"/>
  <c r="G31" i="23"/>
  <c r="G31" i="24" s="1"/>
  <c r="F24" i="23"/>
  <c r="F24" i="24" s="1"/>
  <c r="F37" i="23"/>
  <c r="F37" i="24" s="1"/>
  <c r="F41" i="23"/>
  <c r="F41" i="24" s="1"/>
  <c r="E20" i="23"/>
  <c r="E20" i="24" s="1"/>
  <c r="E13" i="23"/>
  <c r="E13" i="24" s="1"/>
  <c r="E34" i="23"/>
  <c r="E34" i="24" s="1"/>
  <c r="E41" i="23"/>
  <c r="E41" i="24" s="1"/>
  <c r="C34" i="23"/>
  <c r="C34" i="24" s="1"/>
  <c r="C41" i="23"/>
  <c r="C41" i="24" s="1"/>
  <c r="B34" i="23"/>
  <c r="D41" i="23"/>
  <c r="D41" i="24" s="1"/>
  <c r="AG44" i="21"/>
  <c r="I86" i="27" s="1"/>
  <c r="I86" i="25" s="1"/>
  <c r="AI37" i="23"/>
  <c r="AI37" i="24" s="1"/>
  <c r="AI29" i="23"/>
  <c r="AI29" i="24" s="1"/>
  <c r="AI25" i="23"/>
  <c r="AI21" i="23"/>
  <c r="AI21" i="24" s="1"/>
  <c r="AI17" i="23"/>
  <c r="AI17" i="24" s="1"/>
  <c r="AI13" i="23"/>
  <c r="AI13" i="24" s="1"/>
  <c r="AI40" i="23"/>
  <c r="AI40" i="24" s="1"/>
  <c r="AI27" i="23"/>
  <c r="AI27" i="24" s="1"/>
  <c r="AG31" i="23"/>
  <c r="AG31" i="24" s="1"/>
  <c r="AG27" i="23"/>
  <c r="AG27" i="24" s="1"/>
  <c r="AH31" i="23"/>
  <c r="AH31" i="24" s="1"/>
  <c r="AH20" i="23"/>
  <c r="AH20" i="24" s="1"/>
  <c r="U37" i="23"/>
  <c r="U37" i="24" s="1"/>
  <c r="E37" i="23"/>
  <c r="E37" i="24" s="1"/>
  <c r="AE37" i="23"/>
  <c r="AE37" i="24" s="1"/>
  <c r="Z13" i="23"/>
  <c r="Z13" i="24" s="1"/>
  <c r="H13" i="23"/>
  <c r="H13" i="24" s="1"/>
  <c r="J37" i="23"/>
  <c r="J37" i="24" s="1"/>
  <c r="O13" i="23"/>
  <c r="O13" i="24" s="1"/>
  <c r="Q37" i="23"/>
  <c r="Q37" i="24" s="1"/>
  <c r="R13" i="23"/>
  <c r="R13" i="24" s="1"/>
  <c r="X13" i="23"/>
  <c r="X13" i="24" s="1"/>
  <c r="AE13" i="23"/>
  <c r="AE13" i="24" s="1"/>
  <c r="AF31" i="23"/>
  <c r="AF31" i="24" s="1"/>
  <c r="I31" i="23"/>
  <c r="I31" i="24" s="1"/>
  <c r="AN18" i="23"/>
  <c r="AQ18" i="23" s="1"/>
  <c r="C24" i="23"/>
  <c r="C24" i="24" s="1"/>
  <c r="J16" i="23"/>
  <c r="J16" i="24" s="1"/>
  <c r="D16" i="23"/>
  <c r="D16" i="24" s="1"/>
  <c r="AN33" i="23"/>
  <c r="AQ33" i="23" s="1"/>
  <c r="AN27" i="23"/>
  <c r="AQ27" i="23" s="1"/>
  <c r="F20" i="23"/>
  <c r="F20" i="24" s="1"/>
  <c r="P20" i="23"/>
  <c r="P20" i="24" s="1"/>
  <c r="AC24" i="23"/>
  <c r="AC24" i="24" s="1"/>
  <c r="AD16" i="23"/>
  <c r="AD16" i="24" s="1"/>
  <c r="AN30" i="23"/>
  <c r="AD41" i="23"/>
  <c r="AD41" i="24" s="1"/>
  <c r="AD34" i="23"/>
  <c r="AD34" i="24" s="1"/>
  <c r="AN24" i="23"/>
  <c r="AQ24" i="23" s="1"/>
  <c r="AN20" i="23"/>
  <c r="AQ20" i="23" s="1"/>
  <c r="AB16" i="23"/>
  <c r="AB16" i="24" s="1"/>
  <c r="AA41" i="23"/>
  <c r="AA41" i="24" s="1"/>
  <c r="Z20" i="23"/>
  <c r="Z20" i="24" s="1"/>
  <c r="Z34" i="23"/>
  <c r="Z34" i="24" s="1"/>
  <c r="Y27" i="23"/>
  <c r="Y27" i="24" s="1"/>
  <c r="X24" i="23"/>
  <c r="X24" i="24" s="1"/>
  <c r="X31" i="23"/>
  <c r="X31" i="24" s="1"/>
  <c r="W34" i="23"/>
  <c r="W34" i="24" s="1"/>
  <c r="V13" i="23"/>
  <c r="V13" i="24" s="1"/>
  <c r="V31" i="23"/>
  <c r="V31" i="24" s="1"/>
  <c r="V27" i="23"/>
  <c r="V27" i="24" s="1"/>
  <c r="U27" i="23"/>
  <c r="U27" i="24" s="1"/>
  <c r="T24" i="23"/>
  <c r="T24" i="24" s="1"/>
  <c r="T16" i="23"/>
  <c r="T16" i="24" s="1"/>
  <c r="T34" i="23"/>
  <c r="T34" i="24" s="1"/>
  <c r="T41" i="23"/>
  <c r="T41" i="24" s="1"/>
  <c r="S20" i="23"/>
  <c r="S20" i="24" s="1"/>
  <c r="S27" i="23"/>
  <c r="S27" i="24" s="1"/>
  <c r="R34" i="23"/>
  <c r="R34" i="24" s="1"/>
  <c r="Q24" i="23"/>
  <c r="Q24" i="24" s="1"/>
  <c r="Q41" i="23"/>
  <c r="Q41" i="24" s="1"/>
  <c r="P41" i="23"/>
  <c r="P41" i="24" s="1"/>
  <c r="O31" i="23"/>
  <c r="O31" i="24" s="1"/>
  <c r="M13" i="23"/>
  <c r="M13" i="24" s="1"/>
  <c r="L24" i="23"/>
  <c r="L24" i="24" s="1"/>
  <c r="L13" i="23"/>
  <c r="L13" i="24" s="1"/>
  <c r="L34" i="23"/>
  <c r="L34" i="24" s="1"/>
  <c r="L41" i="23"/>
  <c r="L41" i="24" s="1"/>
  <c r="K27" i="23"/>
  <c r="K27" i="24" s="1"/>
  <c r="J20" i="23"/>
  <c r="J20" i="24" s="1"/>
  <c r="H24" i="23"/>
  <c r="H24" i="24" s="1"/>
  <c r="G34" i="23"/>
  <c r="G34" i="24" s="1"/>
  <c r="G41" i="23"/>
  <c r="G41" i="24" s="1"/>
  <c r="F13" i="23"/>
  <c r="F13" i="24" s="1"/>
  <c r="F34" i="23"/>
  <c r="F34" i="24" s="1"/>
  <c r="C16" i="23"/>
  <c r="C16" i="24" s="1"/>
  <c r="AN25" i="23"/>
  <c r="AN36" i="23"/>
  <c r="AQ36" i="23" s="1"/>
  <c r="AI38" i="23"/>
  <c r="AI38" i="24" s="1"/>
  <c r="AI30" i="23"/>
  <c r="AI30" i="24" s="1"/>
  <c r="AI26" i="23"/>
  <c r="AI26" i="24" s="1"/>
  <c r="AI22" i="23"/>
  <c r="AI22" i="24" s="1"/>
  <c r="AI18" i="23"/>
  <c r="AI18" i="24" s="1"/>
  <c r="AJ19" i="64"/>
  <c r="AM18" i="64"/>
  <c r="AN18" i="64" s="1"/>
  <c r="AO18" i="64" s="1"/>
  <c r="AJ23" i="64"/>
  <c r="AM22" i="64"/>
  <c r="AN22" i="64" s="1"/>
  <c r="AO22" i="64" s="1"/>
  <c r="AJ4" i="64"/>
  <c r="AM3" i="64"/>
  <c r="AN3" i="64" s="1"/>
  <c r="AJ8" i="64"/>
  <c r="AM7" i="64"/>
  <c r="AN7" i="64" s="1"/>
  <c r="AO7" i="64" s="1"/>
  <c r="AM11" i="64"/>
  <c r="AN11" i="64" s="1"/>
  <c r="AO11" i="64" s="1"/>
  <c r="AJ12" i="64"/>
  <c r="AM15" i="64"/>
  <c r="AN15" i="64" s="1"/>
  <c r="AO15" i="64" s="1"/>
  <c r="AJ16" i="64"/>
  <c r="AJ20" i="64"/>
  <c r="AM19" i="64"/>
  <c r="AN19" i="64" s="1"/>
  <c r="AO19" i="64" s="1"/>
  <c r="AJ24" i="64"/>
  <c r="AM23" i="64"/>
  <c r="AN23" i="64" s="1"/>
  <c r="AO23" i="64" s="1"/>
  <c r="AJ28" i="64"/>
  <c r="AM27" i="64"/>
  <c r="AN27" i="64" s="1"/>
  <c r="AO27" i="64" s="1"/>
  <c r="AJ32" i="64"/>
  <c r="AM31" i="64"/>
  <c r="AN31" i="64" s="1"/>
  <c r="AO31" i="64" s="1"/>
  <c r="AJ7" i="64"/>
  <c r="AM6" i="64"/>
  <c r="AN6" i="64" s="1"/>
  <c r="AO6" i="64" s="1"/>
  <c r="AJ15" i="64"/>
  <c r="AM14" i="64"/>
  <c r="AN14" i="64" s="1"/>
  <c r="AO14" i="64" s="1"/>
  <c r="AJ27" i="64"/>
  <c r="AM26" i="64"/>
  <c r="AN26" i="64" s="1"/>
  <c r="AO26" i="64" s="1"/>
  <c r="AM4" i="64"/>
  <c r="AN4" i="64" s="1"/>
  <c r="AO4" i="64" s="1"/>
  <c r="AJ5" i="64"/>
  <c r="AM8" i="64"/>
  <c r="AN8" i="64" s="1"/>
  <c r="AO8" i="64" s="1"/>
  <c r="AJ9" i="64"/>
  <c r="AJ13" i="64"/>
  <c r="AM12" i="64"/>
  <c r="AN12" i="64" s="1"/>
  <c r="AO12" i="64" s="1"/>
  <c r="AM16" i="64"/>
  <c r="AN16" i="64" s="1"/>
  <c r="AO16" i="64" s="1"/>
  <c r="AJ17" i="64"/>
  <c r="AJ21" i="64"/>
  <c r="AM20" i="64"/>
  <c r="AN20" i="64" s="1"/>
  <c r="AO20" i="64" s="1"/>
  <c r="AJ25" i="64"/>
  <c r="AM24" i="64"/>
  <c r="AN24" i="64" s="1"/>
  <c r="AO24" i="64" s="1"/>
  <c r="AJ29" i="64"/>
  <c r="AM28" i="64"/>
  <c r="AN28" i="64" s="1"/>
  <c r="AO28" i="64" s="1"/>
  <c r="AJ33" i="64"/>
  <c r="AM32" i="64"/>
  <c r="AN32" i="64" s="1"/>
  <c r="AO32" i="64" s="1"/>
  <c r="AA12" i="64"/>
  <c r="AA20" i="64"/>
  <c r="AA28" i="64"/>
  <c r="AA32" i="64"/>
  <c r="AJ11" i="64"/>
  <c r="AM10" i="64"/>
  <c r="AN10" i="64" s="1"/>
  <c r="AO10" i="64" s="1"/>
  <c r="AJ31" i="64"/>
  <c r="AM30" i="64"/>
  <c r="AN30" i="64" s="1"/>
  <c r="AO30" i="64" s="1"/>
  <c r="AM5" i="64"/>
  <c r="AN5" i="64" s="1"/>
  <c r="AO5" i="64" s="1"/>
  <c r="AJ6" i="64"/>
  <c r="AM9" i="64"/>
  <c r="AN9" i="64" s="1"/>
  <c r="AO9" i="64" s="1"/>
  <c r="AJ10" i="64"/>
  <c r="AJ14" i="64"/>
  <c r="AM13" i="64"/>
  <c r="AN13" i="64" s="1"/>
  <c r="AO13" i="64" s="1"/>
  <c r="AJ18" i="64"/>
  <c r="AM17" i="64"/>
  <c r="AN17" i="64" s="1"/>
  <c r="AO17" i="64" s="1"/>
  <c r="AJ22" i="64"/>
  <c r="AM21" i="64"/>
  <c r="AN21" i="64" s="1"/>
  <c r="AO21" i="64" s="1"/>
  <c r="AJ26" i="64"/>
  <c r="AM25" i="64"/>
  <c r="AN25" i="64" s="1"/>
  <c r="AO25" i="64" s="1"/>
  <c r="AJ30" i="64"/>
  <c r="AM29" i="64"/>
  <c r="AN29" i="64" s="1"/>
  <c r="AO29" i="64" s="1"/>
  <c r="AA5" i="64"/>
  <c r="AA9" i="64"/>
  <c r="AA25" i="64"/>
  <c r="AA33" i="64"/>
  <c r="AM33" i="64"/>
  <c r="AN33" i="64" s="1"/>
  <c r="AO33" i="64" s="1"/>
  <c r="I60" i="25"/>
  <c r="K44" i="21"/>
  <c r="I64" i="27" s="1"/>
  <c r="I64" i="25" s="1"/>
  <c r="Y4" i="36"/>
  <c r="T4" i="36"/>
  <c r="T22" i="43"/>
  <c r="AA22" i="43" s="1"/>
  <c r="Y22" i="43"/>
  <c r="Y25" i="54"/>
  <c r="Y29" i="52"/>
  <c r="T13" i="52"/>
  <c r="AA13" i="52" s="1"/>
  <c r="Y13" i="52"/>
  <c r="T25" i="50"/>
  <c r="AA25" i="50" s="1"/>
  <c r="Y25" i="50"/>
  <c r="T13" i="48"/>
  <c r="AA13" i="48" s="1"/>
  <c r="Y11" i="48"/>
  <c r="Y29" i="47"/>
  <c r="T29" i="47"/>
  <c r="AA29" i="47" s="1"/>
  <c r="T33" i="46"/>
  <c r="AA33" i="46" s="1"/>
  <c r="Y19" i="44"/>
  <c r="T27" i="42"/>
  <c r="AA27" i="42" s="1"/>
  <c r="Y9" i="42"/>
  <c r="T15" i="41"/>
  <c r="AA15" i="41" s="1"/>
  <c r="Y15" i="41"/>
  <c r="T7" i="38"/>
  <c r="Y7" i="38"/>
  <c r="Y3" i="37"/>
  <c r="T3" i="37"/>
  <c r="T21" i="35"/>
  <c r="AA21" i="35" s="1"/>
  <c r="Y21" i="35"/>
  <c r="T13" i="35"/>
  <c r="AA13" i="35" s="1"/>
  <c r="Y13" i="35"/>
  <c r="T23" i="30"/>
  <c r="AA23" i="30" s="1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Z7" i="43"/>
  <c r="R7" i="43"/>
  <c r="Z13" i="43"/>
  <c r="R13" i="43"/>
  <c r="Z7" i="42"/>
  <c r="R7" i="42"/>
  <c r="Z19" i="42"/>
  <c r="R19" i="42"/>
  <c r="Z4" i="41"/>
  <c r="R4" i="41"/>
  <c r="Z5" i="41"/>
  <c r="R5" i="41"/>
  <c r="R8" i="41"/>
  <c r="Z8" i="41"/>
  <c r="R32" i="41"/>
  <c r="Z32" i="41"/>
  <c r="Z7" i="40"/>
  <c r="R7" i="40"/>
  <c r="Z10" i="40"/>
  <c r="R10" i="40"/>
  <c r="Z21" i="40"/>
  <c r="R21" i="40"/>
  <c r="Z25" i="40"/>
  <c r="R25" i="40"/>
  <c r="Z27" i="40"/>
  <c r="R27" i="40"/>
  <c r="Z30" i="40"/>
  <c r="R30" i="40"/>
  <c r="Z11" i="39"/>
  <c r="R11" i="39"/>
  <c r="Z15" i="39"/>
  <c r="R15" i="39"/>
  <c r="Z24" i="37"/>
  <c r="R24" i="37"/>
  <c r="Z25" i="37"/>
  <c r="R25" i="37"/>
  <c r="Z27" i="37"/>
  <c r="R27" i="37"/>
  <c r="Z30" i="37"/>
  <c r="R30" i="37"/>
  <c r="Z31" i="37"/>
  <c r="R31" i="37"/>
  <c r="Z9" i="36"/>
  <c r="R9" i="36"/>
  <c r="Z15" i="36"/>
  <c r="R15" i="36"/>
  <c r="Z23" i="35"/>
  <c r="R23" i="35"/>
  <c r="Z27" i="35"/>
  <c r="R27" i="35"/>
  <c r="Z7" i="34"/>
  <c r="R7" i="34"/>
  <c r="Z10" i="34"/>
  <c r="R10" i="34"/>
  <c r="Z29" i="34"/>
  <c r="R29" i="34"/>
  <c r="R32" i="34"/>
  <c r="Z32" i="34"/>
  <c r="T6" i="33"/>
  <c r="Y6" i="33"/>
  <c r="Z27" i="33"/>
  <c r="R27" i="33"/>
  <c r="Z11" i="32"/>
  <c r="R11" i="32"/>
  <c r="Z29" i="32"/>
  <c r="R29" i="32"/>
  <c r="R32" i="32"/>
  <c r="Z32" i="32"/>
  <c r="T6" i="31"/>
  <c r="AA6" i="31" s="1"/>
  <c r="Y6" i="31"/>
  <c r="Z7" i="31"/>
  <c r="R7" i="31"/>
  <c r="Z33" i="31"/>
  <c r="R33" i="31"/>
  <c r="Z7" i="30"/>
  <c r="R7" i="30"/>
  <c r="Z10" i="30"/>
  <c r="R10" i="30"/>
  <c r="T14" i="30"/>
  <c r="AA14" i="30" s="1"/>
  <c r="Y14" i="30"/>
  <c r="T30" i="30"/>
  <c r="AA30" i="30" s="1"/>
  <c r="Y30" i="30"/>
  <c r="O5" i="29"/>
  <c r="W5" i="29"/>
  <c r="Q21" i="29"/>
  <c r="X21" i="29" s="1"/>
  <c r="V21" i="29"/>
  <c r="Q17" i="29"/>
  <c r="X17" i="29" s="1"/>
  <c r="V17" i="29"/>
  <c r="Z4" i="61"/>
  <c r="R4" i="61"/>
  <c r="AO44" i="24"/>
  <c r="Y5" i="63"/>
  <c r="Y6" i="63"/>
  <c r="Y9" i="63"/>
  <c r="Y17" i="63"/>
  <c r="Y24" i="63"/>
  <c r="Y32" i="63"/>
  <c r="T10" i="59"/>
  <c r="Y10" i="59"/>
  <c r="Y27" i="58"/>
  <c r="T27" i="58"/>
  <c r="AA27" i="58" s="1"/>
  <c r="Y31" i="56"/>
  <c r="T5" i="56"/>
  <c r="Y5" i="56"/>
  <c r="T31" i="55"/>
  <c r="AA31" i="55" s="1"/>
  <c r="Y31" i="55"/>
  <c r="T15" i="53"/>
  <c r="AA15" i="53" s="1"/>
  <c r="Y15" i="53"/>
  <c r="Y31" i="50"/>
  <c r="T15" i="46"/>
  <c r="AA15" i="46" s="1"/>
  <c r="Y15" i="46"/>
  <c r="T31" i="45"/>
  <c r="AA31" i="45" s="1"/>
  <c r="Y31" i="45"/>
  <c r="Y21" i="45"/>
  <c r="T21" i="45"/>
  <c r="AA21" i="45" s="1"/>
  <c r="Y3" i="45"/>
  <c r="T3" i="45"/>
  <c r="T31" i="44"/>
  <c r="AA31" i="44" s="1"/>
  <c r="Y31" i="44"/>
  <c r="T29" i="44"/>
  <c r="AA29" i="44" s="1"/>
  <c r="Y29" i="44"/>
  <c r="Y11" i="44"/>
  <c r="T11" i="44"/>
  <c r="AA11" i="44" s="1"/>
  <c r="T5" i="44"/>
  <c r="AA5" i="44" s="1"/>
  <c r="Y5" i="44"/>
  <c r="Y25" i="43"/>
  <c r="Y23" i="43"/>
  <c r="Y25" i="41"/>
  <c r="T25" i="41"/>
  <c r="AA25" i="41" s="1"/>
  <c r="T29" i="40"/>
  <c r="AA29" i="40" s="1"/>
  <c r="Y29" i="40"/>
  <c r="Y33" i="39"/>
  <c r="T33" i="39"/>
  <c r="AA33" i="39" s="1"/>
  <c r="Y29" i="38"/>
  <c r="T29" i="38"/>
  <c r="AA29" i="38" s="1"/>
  <c r="Y19" i="38"/>
  <c r="T19" i="38"/>
  <c r="AA19" i="38" s="1"/>
  <c r="T21" i="36"/>
  <c r="AA21" i="36" s="1"/>
  <c r="Y11" i="36"/>
  <c r="T11" i="36"/>
  <c r="AA11" i="36" s="1"/>
  <c r="T31" i="35"/>
  <c r="AA31" i="35" s="1"/>
  <c r="T29" i="35"/>
  <c r="AA29" i="35" s="1"/>
  <c r="Y29" i="35"/>
  <c r="T5" i="35"/>
  <c r="AA5" i="35" s="1"/>
  <c r="Y5" i="35"/>
  <c r="T33" i="33"/>
  <c r="AA33" i="33" s="1"/>
  <c r="Y33" i="33"/>
  <c r="T25" i="33"/>
  <c r="AA25" i="33" s="1"/>
  <c r="Y25" i="33"/>
  <c r="T15" i="32"/>
  <c r="AA15" i="32" s="1"/>
  <c r="Y15" i="32"/>
  <c r="T25" i="31"/>
  <c r="AA25" i="31" s="1"/>
  <c r="Y25" i="31"/>
  <c r="T11" i="30"/>
  <c r="AA11" i="30" s="1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T25" i="59"/>
  <c r="AA25" i="59" s="1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Z24" i="39"/>
  <c r="R24" i="39"/>
  <c r="Z30" i="39"/>
  <c r="R30" i="39"/>
  <c r="Z13" i="38"/>
  <c r="R13" i="38"/>
  <c r="Z17" i="38"/>
  <c r="R17" i="38"/>
  <c r="Z23" i="38"/>
  <c r="R23" i="38"/>
  <c r="Z7" i="37"/>
  <c r="R7" i="37"/>
  <c r="Z26" i="36"/>
  <c r="R26" i="36"/>
  <c r="Z33" i="36"/>
  <c r="R33" i="36"/>
  <c r="Z12" i="35"/>
  <c r="R12" i="35"/>
  <c r="T18" i="35"/>
  <c r="AA18" i="35" s="1"/>
  <c r="Y23" i="62"/>
  <c r="Y31" i="62"/>
  <c r="Y20" i="62"/>
  <c r="Y24" i="62"/>
  <c r="Y32" i="62"/>
  <c r="T25" i="55"/>
  <c r="AA25" i="55" s="1"/>
  <c r="T5" i="45"/>
  <c r="AA5" i="45" s="1"/>
  <c r="S36" i="60"/>
  <c r="S36" i="48"/>
  <c r="S36" i="35"/>
  <c r="Z14" i="58"/>
  <c r="R14" i="58"/>
  <c r="Z22" i="58"/>
  <c r="R22" i="58"/>
  <c r="Z4" i="53"/>
  <c r="R4" i="53"/>
  <c r="Z4" i="51"/>
  <c r="R4" i="51"/>
  <c r="Z20" i="46"/>
  <c r="R20" i="46"/>
  <c r="Z28" i="45"/>
  <c r="R28" i="45"/>
  <c r="Z18" i="43"/>
  <c r="R18" i="43"/>
  <c r="Z24" i="42"/>
  <c r="R24" i="42"/>
  <c r="Z32" i="40"/>
  <c r="R32" i="40"/>
  <c r="Z16" i="39"/>
  <c r="R16" i="39"/>
  <c r="Z8" i="37"/>
  <c r="R8" i="37"/>
  <c r="Z32" i="37"/>
  <c r="R32" i="37"/>
  <c r="Z16" i="36"/>
  <c r="R16" i="36"/>
  <c r="Z28" i="35"/>
  <c r="R28" i="35"/>
  <c r="Z12" i="33"/>
  <c r="R12" i="33"/>
  <c r="Z12" i="31"/>
  <c r="R12" i="31"/>
  <c r="Z3" i="61"/>
  <c r="R3" i="61"/>
  <c r="Z25" i="61"/>
  <c r="R25" i="61"/>
  <c r="S36" i="49"/>
  <c r="S36" i="44"/>
  <c r="S36" i="57"/>
  <c r="S36" i="55"/>
  <c r="S36" i="43"/>
  <c r="S36" i="42"/>
  <c r="S36" i="41"/>
  <c r="S36" i="36"/>
  <c r="F44" i="24"/>
  <c r="B22" i="24"/>
  <c r="U53" i="22"/>
  <c r="H51" i="22"/>
  <c r="H52" i="22" s="1"/>
  <c r="H53" i="22" s="1"/>
  <c r="U42" i="21"/>
  <c r="U44" i="21"/>
  <c r="I74" i="27" s="1"/>
  <c r="S44" i="21"/>
  <c r="I72" i="27" s="1"/>
  <c r="S42" i="21"/>
  <c r="AF42" i="21"/>
  <c r="AA44" i="21"/>
  <c r="I80" i="27" s="1"/>
  <c r="I80" i="25" s="1"/>
  <c r="Y44" i="21"/>
  <c r="I78" i="27" s="1"/>
  <c r="W42" i="21"/>
  <c r="Q44" i="21"/>
  <c r="I70" i="27" s="1"/>
  <c r="I70" i="25" s="1"/>
  <c r="O44" i="21"/>
  <c r="I68" i="27" s="1"/>
  <c r="I68" i="25" s="1"/>
  <c r="M42" i="21"/>
  <c r="AO42" i="23"/>
  <c r="X42" i="21"/>
  <c r="N42" i="21"/>
  <c r="F42" i="21"/>
  <c r="R27" i="23"/>
  <c r="R27" i="24" s="1"/>
  <c r="Q23" i="23"/>
  <c r="Q23" i="24" s="1"/>
  <c r="Q18" i="23"/>
  <c r="Q18" i="24" s="1"/>
  <c r="Q27" i="23"/>
  <c r="Q27" i="24" s="1"/>
  <c r="P23" i="23"/>
  <c r="P23" i="24" s="1"/>
  <c r="P16" i="23"/>
  <c r="P16" i="24" s="1"/>
  <c r="P38" i="23"/>
  <c r="P38" i="24" s="1"/>
  <c r="P35" i="23"/>
  <c r="P35" i="24" s="1"/>
  <c r="P29" i="23"/>
  <c r="P29" i="24" s="1"/>
  <c r="P27" i="23"/>
  <c r="P27" i="24" s="1"/>
  <c r="O23" i="23"/>
  <c r="O23" i="24" s="1"/>
  <c r="O17" i="23"/>
  <c r="O17" i="24" s="1"/>
  <c r="O12" i="23"/>
  <c r="O12" i="24" s="1"/>
  <c r="O35" i="23"/>
  <c r="O35" i="24" s="1"/>
  <c r="N24" i="23"/>
  <c r="N24" i="24" s="1"/>
  <c r="N22" i="23"/>
  <c r="N22" i="24" s="1"/>
  <c r="N18" i="23"/>
  <c r="N18" i="24" s="1"/>
  <c r="N16" i="23"/>
  <c r="N16" i="24" s="1"/>
  <c r="N38" i="23"/>
  <c r="N38" i="24" s="1"/>
  <c r="N35" i="23"/>
  <c r="N35" i="24" s="1"/>
  <c r="M24" i="23"/>
  <c r="M24" i="24" s="1"/>
  <c r="M22" i="23"/>
  <c r="M22" i="24" s="1"/>
  <c r="M16" i="23"/>
  <c r="M16" i="24" s="1"/>
  <c r="M12" i="23"/>
  <c r="M12" i="24" s="1"/>
  <c r="M38" i="23"/>
  <c r="M38" i="24" s="1"/>
  <c r="M35" i="23"/>
  <c r="M35" i="24" s="1"/>
  <c r="M27" i="23"/>
  <c r="M27" i="24" s="1"/>
  <c r="L23" i="23"/>
  <c r="L23" i="24" s="1"/>
  <c r="L16" i="23"/>
  <c r="L16" i="24" s="1"/>
  <c r="L39" i="23"/>
  <c r="L39" i="24" s="1"/>
  <c r="L32" i="23"/>
  <c r="L32" i="24" s="1"/>
  <c r="L27" i="23"/>
  <c r="L27" i="24" s="1"/>
  <c r="K23" i="23"/>
  <c r="K23" i="24" s="1"/>
  <c r="K20" i="23"/>
  <c r="K20" i="24" s="1"/>
  <c r="K16" i="23"/>
  <c r="K16" i="24" s="1"/>
  <c r="K35" i="23"/>
  <c r="K35" i="24" s="1"/>
  <c r="K29" i="23"/>
  <c r="K29" i="24" s="1"/>
  <c r="J24" i="23"/>
  <c r="J24" i="24" s="1"/>
  <c r="J22" i="23"/>
  <c r="J22" i="24" s="1"/>
  <c r="J19" i="23"/>
  <c r="J19" i="24" s="1"/>
  <c r="J17" i="23"/>
  <c r="J17" i="24" s="1"/>
  <c r="J29" i="23"/>
  <c r="J29" i="24" s="1"/>
  <c r="I24" i="23"/>
  <c r="I24" i="24" s="1"/>
  <c r="I22" i="23"/>
  <c r="I22" i="24" s="1"/>
  <c r="I20" i="23"/>
  <c r="I20" i="24" s="1"/>
  <c r="I39" i="23"/>
  <c r="I39" i="24" s="1"/>
  <c r="I35" i="23"/>
  <c r="I35" i="24" s="1"/>
  <c r="I27" i="23"/>
  <c r="I27" i="24" s="1"/>
  <c r="H23" i="23"/>
  <c r="H23" i="24" s="1"/>
  <c r="H20" i="23"/>
  <c r="H20" i="24" s="1"/>
  <c r="H38" i="23"/>
  <c r="H38" i="24" s="1"/>
  <c r="H35" i="23"/>
  <c r="H35" i="24" s="1"/>
  <c r="H32" i="23"/>
  <c r="H32" i="24" s="1"/>
  <c r="H27" i="23"/>
  <c r="H27" i="24" s="1"/>
  <c r="G23" i="23"/>
  <c r="G23" i="24" s="1"/>
  <c r="G20" i="23"/>
  <c r="G20" i="24" s="1"/>
  <c r="E12" i="23"/>
  <c r="E12" i="24" s="1"/>
  <c r="E27" i="23"/>
  <c r="E27" i="24" s="1"/>
  <c r="C22" i="23"/>
  <c r="C22" i="24" s="1"/>
  <c r="C20" i="23"/>
  <c r="C20" i="24" s="1"/>
  <c r="AK20" i="24" s="1"/>
  <c r="C27" i="23"/>
  <c r="C27" i="24" s="1"/>
  <c r="D27" i="23"/>
  <c r="D27" i="24" s="1"/>
  <c r="D17" i="23"/>
  <c r="D17" i="24" s="1"/>
  <c r="AM32" i="24"/>
  <c r="AM25" i="24"/>
  <c r="AM17" i="24"/>
  <c r="W36" i="63"/>
  <c r="AJ6" i="63"/>
  <c r="AM5" i="63"/>
  <c r="AN5" i="63" s="1"/>
  <c r="AO5" i="63" s="1"/>
  <c r="AJ7" i="63"/>
  <c r="AM6" i="63"/>
  <c r="AN6" i="63" s="1"/>
  <c r="AO6" i="63" s="1"/>
  <c r="AJ8" i="63"/>
  <c r="AM7" i="63"/>
  <c r="AN7" i="63" s="1"/>
  <c r="AO7" i="63" s="1"/>
  <c r="AJ9" i="63"/>
  <c r="AM8" i="63"/>
  <c r="AN8" i="63" s="1"/>
  <c r="AO8" i="63" s="1"/>
  <c r="AJ10" i="63"/>
  <c r="AM9" i="63"/>
  <c r="AN9" i="63" s="1"/>
  <c r="AO9" i="63" s="1"/>
  <c r="AJ11" i="63"/>
  <c r="AM10" i="63"/>
  <c r="AN10" i="63" s="1"/>
  <c r="AO10" i="63" s="1"/>
  <c r="AJ12" i="63"/>
  <c r="AM11" i="63"/>
  <c r="AN11" i="63" s="1"/>
  <c r="AO11" i="63" s="1"/>
  <c r="AJ13" i="63"/>
  <c r="AM12" i="63"/>
  <c r="AN12" i="63" s="1"/>
  <c r="AO12" i="63" s="1"/>
  <c r="AJ14" i="63"/>
  <c r="AM13" i="63"/>
  <c r="AN13" i="63" s="1"/>
  <c r="AO13" i="63" s="1"/>
  <c r="AJ15" i="63"/>
  <c r="AM14" i="63"/>
  <c r="AN14" i="63" s="1"/>
  <c r="AO14" i="63" s="1"/>
  <c r="AJ16" i="63"/>
  <c r="AM15" i="63"/>
  <c r="AN15" i="63" s="1"/>
  <c r="AO15" i="63" s="1"/>
  <c r="AJ17" i="63"/>
  <c r="AM16" i="63"/>
  <c r="AN16" i="63" s="1"/>
  <c r="AO16" i="63" s="1"/>
  <c r="AJ18" i="63"/>
  <c r="AM17" i="63"/>
  <c r="AN17" i="63" s="1"/>
  <c r="AO17" i="63" s="1"/>
  <c r="AJ19" i="63"/>
  <c r="AM18" i="63"/>
  <c r="AN18" i="63" s="1"/>
  <c r="AO18" i="63" s="1"/>
  <c r="AJ20" i="63"/>
  <c r="AM19" i="63"/>
  <c r="AN19" i="63" s="1"/>
  <c r="AO19" i="63" s="1"/>
  <c r="AJ21" i="63"/>
  <c r="AM20" i="63"/>
  <c r="AN20" i="63" s="1"/>
  <c r="AO20" i="63" s="1"/>
  <c r="AJ22" i="63"/>
  <c r="AM21" i="63"/>
  <c r="AN21" i="63" s="1"/>
  <c r="AO21" i="63" s="1"/>
  <c r="AJ23" i="63"/>
  <c r="AM22" i="63"/>
  <c r="AN22" i="63" s="1"/>
  <c r="AO22" i="63" s="1"/>
  <c r="AJ24" i="63"/>
  <c r="AM23" i="63"/>
  <c r="AN23" i="63" s="1"/>
  <c r="AO23" i="63" s="1"/>
  <c r="AJ25" i="63"/>
  <c r="AM24" i="63"/>
  <c r="AN24" i="63" s="1"/>
  <c r="AO24" i="63" s="1"/>
  <c r="AJ26" i="63"/>
  <c r="AM25" i="63"/>
  <c r="AN25" i="63" s="1"/>
  <c r="AO25" i="63" s="1"/>
  <c r="AJ27" i="63"/>
  <c r="AM26" i="63"/>
  <c r="AN26" i="63" s="1"/>
  <c r="AO26" i="63" s="1"/>
  <c r="AJ28" i="63"/>
  <c r="AM27" i="63"/>
  <c r="AN27" i="63" s="1"/>
  <c r="AO27" i="63" s="1"/>
  <c r="AJ29" i="63"/>
  <c r="AM28" i="63"/>
  <c r="AN28" i="63" s="1"/>
  <c r="AO28" i="63" s="1"/>
  <c r="AJ30" i="63"/>
  <c r="AM29" i="63"/>
  <c r="AN29" i="63" s="1"/>
  <c r="AO29" i="63" s="1"/>
  <c r="AJ31" i="63"/>
  <c r="AM30" i="63"/>
  <c r="AN30" i="63" s="1"/>
  <c r="AO30" i="63" s="1"/>
  <c r="AJ32" i="63"/>
  <c r="AM31" i="63"/>
  <c r="AN31" i="63" s="1"/>
  <c r="AO31" i="63" s="1"/>
  <c r="AM33" i="63"/>
  <c r="AN33" i="63" s="1"/>
  <c r="AO33" i="63" s="1"/>
  <c r="AJ33" i="63"/>
  <c r="AM32" i="63"/>
  <c r="AN32" i="63" s="1"/>
  <c r="AO32" i="63" s="1"/>
  <c r="AO3" i="63"/>
  <c r="AA5" i="63"/>
  <c r="AA6" i="63"/>
  <c r="AA9" i="63"/>
  <c r="AA13" i="63"/>
  <c r="AA14" i="63"/>
  <c r="AA28" i="63"/>
  <c r="M44" i="63"/>
  <c r="I59" i="25"/>
  <c r="AA5" i="62"/>
  <c r="AA14" i="32"/>
  <c r="B36" i="23"/>
  <c r="B26" i="23"/>
  <c r="AM28" i="24"/>
  <c r="AM20" i="24"/>
  <c r="AE28" i="23"/>
  <c r="AE28" i="24" s="1"/>
  <c r="R18" i="42"/>
  <c r="R30" i="45"/>
  <c r="R18" i="44"/>
  <c r="W17" i="29"/>
  <c r="W42" i="24" l="1"/>
  <c r="AK31" i="23"/>
  <c r="C48" i="24"/>
  <c r="G56" i="26" s="1"/>
  <c r="AE48" i="24"/>
  <c r="G84" i="26" s="1"/>
  <c r="F84" i="26" s="1"/>
  <c r="AC48" i="24"/>
  <c r="G82" i="26" s="1"/>
  <c r="H49" i="23"/>
  <c r="E61" i="26" s="1"/>
  <c r="D61" i="26" s="1"/>
  <c r="D61" i="25" s="1"/>
  <c r="AU9" i="28" s="1"/>
  <c r="S42" i="23"/>
  <c r="E42" i="24"/>
  <c r="AK28" i="23"/>
  <c r="R42" i="23"/>
  <c r="AK41" i="23"/>
  <c r="J44" i="23"/>
  <c r="E63" i="27" s="1"/>
  <c r="D63" i="27" s="1"/>
  <c r="AK16" i="23"/>
  <c r="AK21" i="23"/>
  <c r="K48" i="24"/>
  <c r="G64" i="26" s="1"/>
  <c r="F64" i="26" s="1"/>
  <c r="AK28" i="24"/>
  <c r="AB42" i="23"/>
  <c r="AD42" i="23"/>
  <c r="AK12" i="23"/>
  <c r="AC44" i="23"/>
  <c r="E82" i="27" s="1"/>
  <c r="D82" i="27" s="1"/>
  <c r="AK33" i="23"/>
  <c r="AK19" i="23"/>
  <c r="AK35" i="23"/>
  <c r="AF44" i="23"/>
  <c r="E85" i="27" s="1"/>
  <c r="D85" i="27" s="1"/>
  <c r="AK38" i="23"/>
  <c r="T5" i="36"/>
  <c r="AA5" i="36" s="1"/>
  <c r="V44" i="23"/>
  <c r="E75" i="27" s="1"/>
  <c r="AK29" i="23"/>
  <c r="AK32" i="23"/>
  <c r="E48" i="24"/>
  <c r="G58" i="26" s="1"/>
  <c r="Y49" i="23"/>
  <c r="E78" i="26" s="1"/>
  <c r="D78" i="26" s="1"/>
  <c r="N48" i="24"/>
  <c r="G67" i="26" s="1"/>
  <c r="F67" i="26" s="1"/>
  <c r="J49" i="23"/>
  <c r="E63" i="26" s="1"/>
  <c r="D63" i="26" s="1"/>
  <c r="D63" i="25" s="1"/>
  <c r="AU11" i="28" s="1"/>
  <c r="G44" i="24"/>
  <c r="G60" i="27" s="1"/>
  <c r="F60" i="27" s="1"/>
  <c r="Y30" i="47"/>
  <c r="T7" i="56"/>
  <c r="AA7" i="56" s="1"/>
  <c r="Y16" i="56"/>
  <c r="T30" i="41"/>
  <c r="AA30" i="41" s="1"/>
  <c r="N44" i="23"/>
  <c r="E67" i="27" s="1"/>
  <c r="D67" i="27" s="1"/>
  <c r="T27" i="59"/>
  <c r="AA27" i="59" s="1"/>
  <c r="M44" i="23"/>
  <c r="E66" i="27" s="1"/>
  <c r="D66" i="27" s="1"/>
  <c r="AN36" i="56"/>
  <c r="AN37" i="56" s="1"/>
  <c r="Y44" i="24"/>
  <c r="G78" i="27" s="1"/>
  <c r="F78" i="27" s="1"/>
  <c r="AK18" i="23"/>
  <c r="AJ36" i="46"/>
  <c r="AG44" i="23"/>
  <c r="E86" i="27" s="1"/>
  <c r="D86" i="27" s="1"/>
  <c r="H44" i="24"/>
  <c r="Y24" i="61"/>
  <c r="Y13" i="63"/>
  <c r="T17" i="51"/>
  <c r="AA17" i="51" s="1"/>
  <c r="T19" i="35"/>
  <c r="AA19" i="35" s="1"/>
  <c r="Y3" i="64"/>
  <c r="Q42" i="23"/>
  <c r="AK34" i="23"/>
  <c r="AI44" i="23"/>
  <c r="E88" i="27" s="1"/>
  <c r="Q44" i="23"/>
  <c r="E70" i="27" s="1"/>
  <c r="D70" i="27" s="1"/>
  <c r="V42" i="24"/>
  <c r="AK40" i="23"/>
  <c r="AL44" i="22"/>
  <c r="R48" i="24"/>
  <c r="G71" i="26" s="1"/>
  <c r="F71" i="26" s="1"/>
  <c r="B33" i="24"/>
  <c r="AK33" i="24" s="1"/>
  <c r="B18" i="24"/>
  <c r="AK18" i="24" s="1"/>
  <c r="AL18" i="24" s="1"/>
  <c r="O48" i="24"/>
  <c r="G68" i="26" s="1"/>
  <c r="F68" i="26" s="1"/>
  <c r="Y48" i="24"/>
  <c r="G78" i="26" s="1"/>
  <c r="F78" i="26" s="1"/>
  <c r="Y44" i="23"/>
  <c r="E78" i="27" s="1"/>
  <c r="D78" i="27" s="1"/>
  <c r="AI42" i="23"/>
  <c r="P48" i="24"/>
  <c r="G69" i="26" s="1"/>
  <c r="F69" i="26" s="1"/>
  <c r="C44" i="23"/>
  <c r="E56" i="27" s="1"/>
  <c r="D56" i="27" s="1"/>
  <c r="T31" i="60"/>
  <c r="AA31" i="60" s="1"/>
  <c r="T20" i="32"/>
  <c r="AA20" i="32" s="1"/>
  <c r="Y15" i="51"/>
  <c r="T24" i="48"/>
  <c r="AA24" i="48" s="1"/>
  <c r="Y15" i="42"/>
  <c r="AK20" i="23"/>
  <c r="T28" i="38"/>
  <c r="AA28" i="38" s="1"/>
  <c r="Y10" i="31"/>
  <c r="T14" i="48"/>
  <c r="AA14" i="48" s="1"/>
  <c r="Y23" i="33"/>
  <c r="T5" i="43"/>
  <c r="AA5" i="43" s="1"/>
  <c r="F42" i="23"/>
  <c r="Y16" i="38"/>
  <c r="AK14" i="24"/>
  <c r="T31" i="51"/>
  <c r="AA31" i="51" s="1"/>
  <c r="T30" i="53"/>
  <c r="AA30" i="53" s="1"/>
  <c r="O49" i="23"/>
  <c r="E68" i="26" s="1"/>
  <c r="D68" i="26" s="1"/>
  <c r="T11" i="55"/>
  <c r="AA11" i="55" s="1"/>
  <c r="AF42" i="23"/>
  <c r="T11" i="43"/>
  <c r="AA11" i="43" s="1"/>
  <c r="G44" i="23"/>
  <c r="E60" i="27" s="1"/>
  <c r="D60" i="27" s="1"/>
  <c r="I42" i="24"/>
  <c r="J44" i="24"/>
  <c r="AA20" i="49"/>
  <c r="AA8" i="46"/>
  <c r="AN36" i="57"/>
  <c r="AN37" i="57" s="1"/>
  <c r="AK22" i="23"/>
  <c r="C42" i="23"/>
  <c r="AJ36" i="56"/>
  <c r="AK26" i="23"/>
  <c r="AA3" i="45"/>
  <c r="T17" i="58"/>
  <c r="AA17" i="58" s="1"/>
  <c r="T33" i="49"/>
  <c r="AA33" i="49" s="1"/>
  <c r="V48" i="24"/>
  <c r="G75" i="26" s="1"/>
  <c r="F75" i="26" s="1"/>
  <c r="AB44" i="23"/>
  <c r="E81" i="27" s="1"/>
  <c r="D81" i="27" s="1"/>
  <c r="P44" i="23"/>
  <c r="E69" i="27" s="1"/>
  <c r="D69" i="27" s="1"/>
  <c r="Y10" i="43"/>
  <c r="Y31" i="64"/>
  <c r="W44" i="24"/>
  <c r="Y15" i="48"/>
  <c r="Z44" i="24"/>
  <c r="G79" i="27" s="1"/>
  <c r="AH42" i="23"/>
  <c r="B35" i="24"/>
  <c r="AK35" i="24" s="1"/>
  <c r="AA16" i="51"/>
  <c r="Q42" i="24"/>
  <c r="AN36" i="46"/>
  <c r="AN37" i="46" s="1"/>
  <c r="AO4" i="46"/>
  <c r="T37" i="29"/>
  <c r="AK36" i="23"/>
  <c r="AG42" i="23"/>
  <c r="AK22" i="24"/>
  <c r="Y29" i="63"/>
  <c r="Y10" i="63"/>
  <c r="Y4" i="63"/>
  <c r="T21" i="44"/>
  <c r="AA21" i="44" s="1"/>
  <c r="Y12" i="59"/>
  <c r="B42" i="23"/>
  <c r="P49" i="23"/>
  <c r="E69" i="26" s="1"/>
  <c r="V42" i="23"/>
  <c r="AK27" i="23"/>
  <c r="R42" i="24"/>
  <c r="AK24" i="23"/>
  <c r="B44" i="23"/>
  <c r="E55" i="27" s="1"/>
  <c r="AK17" i="23"/>
  <c r="AK25" i="23"/>
  <c r="AK51" i="22"/>
  <c r="I48" i="24"/>
  <c r="G62" i="26" s="1"/>
  <c r="S44" i="23"/>
  <c r="E72" i="27" s="1"/>
  <c r="D72" i="27" s="1"/>
  <c r="AD44" i="23"/>
  <c r="E83" i="27" s="1"/>
  <c r="D83" i="27" s="1"/>
  <c r="X48" i="24"/>
  <c r="G77" i="26" s="1"/>
  <c r="F77" i="26" s="1"/>
  <c r="Y42" i="23"/>
  <c r="AC49" i="23"/>
  <c r="E82" i="26" s="1"/>
  <c r="D82" i="26" s="1"/>
  <c r="Y33" i="64"/>
  <c r="Y29" i="49"/>
  <c r="Q25" i="29"/>
  <c r="X25" i="29" s="1"/>
  <c r="T30" i="55"/>
  <c r="AA30" i="55" s="1"/>
  <c r="Y7" i="32"/>
  <c r="AK15" i="23"/>
  <c r="K42" i="23"/>
  <c r="W42" i="23"/>
  <c r="Z36" i="63"/>
  <c r="AA42" i="23"/>
  <c r="AE42" i="23"/>
  <c r="Y15" i="35"/>
  <c r="AE44" i="24"/>
  <c r="K44" i="23"/>
  <c r="E64" i="27" s="1"/>
  <c r="D64" i="27" s="1"/>
  <c r="G42" i="23"/>
  <c r="F44" i="23"/>
  <c r="E59" i="27" s="1"/>
  <c r="D59" i="27" s="1"/>
  <c r="AK11" i="23"/>
  <c r="R44" i="23"/>
  <c r="E71" i="27" s="1"/>
  <c r="D71" i="27" s="1"/>
  <c r="D71" i="25" s="1"/>
  <c r="AU19" i="28" s="1"/>
  <c r="T26" i="35"/>
  <c r="AA26" i="35" s="1"/>
  <c r="O42" i="23"/>
  <c r="E44" i="23"/>
  <c r="E58" i="27" s="1"/>
  <c r="D58" i="27" s="1"/>
  <c r="T28" i="33"/>
  <c r="AA28" i="33" s="1"/>
  <c r="Y13" i="39"/>
  <c r="AA8" i="53"/>
  <c r="AN36" i="60"/>
  <c r="AN37" i="60" s="1"/>
  <c r="AN36" i="62"/>
  <c r="AN37" i="62" s="1"/>
  <c r="W36" i="50"/>
  <c r="E42" i="23"/>
  <c r="N42" i="23"/>
  <c r="AK14" i="23"/>
  <c r="AJ36" i="51"/>
  <c r="P42" i="23"/>
  <c r="Y27" i="47"/>
  <c r="Y26" i="40"/>
  <c r="Y11" i="38"/>
  <c r="T11" i="38"/>
  <c r="AA11" i="38" s="1"/>
  <c r="T4" i="60"/>
  <c r="AA4" i="60" s="1"/>
  <c r="Y4" i="60"/>
  <c r="AN36" i="52"/>
  <c r="AN37" i="52" s="1"/>
  <c r="T15" i="40"/>
  <c r="AA15" i="40" s="1"/>
  <c r="Y15" i="40"/>
  <c r="T11" i="41"/>
  <c r="AA11" i="41" s="1"/>
  <c r="Y11" i="41"/>
  <c r="Y21" i="55"/>
  <c r="T21" i="55"/>
  <c r="AA21" i="55" s="1"/>
  <c r="AK30" i="23"/>
  <c r="B30" i="24"/>
  <c r="AK30" i="24" s="1"/>
  <c r="Y26" i="58"/>
  <c r="T26" i="58"/>
  <c r="AA26" i="58" s="1"/>
  <c r="AJ36" i="53"/>
  <c r="E49" i="23"/>
  <c r="E58" i="26" s="1"/>
  <c r="D58" i="26" s="1"/>
  <c r="AL42" i="22"/>
  <c r="Y29" i="37"/>
  <c r="C97" i="26"/>
  <c r="Y27" i="44"/>
  <c r="T5" i="53"/>
  <c r="AA5" i="53" s="1"/>
  <c r="H25" i="24"/>
  <c r="H48" i="24" s="1"/>
  <c r="G61" i="26" s="1"/>
  <c r="F61" i="26" s="1"/>
  <c r="AH44" i="23"/>
  <c r="E87" i="27" s="1"/>
  <c r="T19" i="32"/>
  <c r="AA19" i="32" s="1"/>
  <c r="Y17" i="64"/>
  <c r="T12" i="55"/>
  <c r="AA12" i="55" s="1"/>
  <c r="Y18" i="50"/>
  <c r="Y18" i="58"/>
  <c r="Y7" i="55"/>
  <c r="T27" i="32"/>
  <c r="AA27" i="32" s="1"/>
  <c r="T33" i="34"/>
  <c r="AA33" i="34" s="1"/>
  <c r="T18" i="38"/>
  <c r="AA18" i="38" s="1"/>
  <c r="T19" i="47"/>
  <c r="AA19" i="47" s="1"/>
  <c r="Y11" i="31"/>
  <c r="Y15" i="52"/>
  <c r="Y13" i="40"/>
  <c r="T23" i="39"/>
  <c r="AA23" i="39" s="1"/>
  <c r="Y15" i="47"/>
  <c r="T20" i="42"/>
  <c r="AA20" i="42" s="1"/>
  <c r="Q33" i="29"/>
  <c r="X33" i="29" s="1"/>
  <c r="Y31" i="43"/>
  <c r="H44" i="23"/>
  <c r="E61" i="27" s="1"/>
  <c r="D61" i="27" s="1"/>
  <c r="Y21" i="59"/>
  <c r="E44" i="24"/>
  <c r="G58" i="27" s="1"/>
  <c r="F58" i="27" s="1"/>
  <c r="AJ36" i="57"/>
  <c r="Y17" i="41"/>
  <c r="T17" i="41"/>
  <c r="AA17" i="41" s="1"/>
  <c r="AJ36" i="48"/>
  <c r="T14" i="44"/>
  <c r="AA14" i="44" s="1"/>
  <c r="Y14" i="44"/>
  <c r="AA11" i="24"/>
  <c r="AA44" i="23"/>
  <c r="E80" i="27" s="1"/>
  <c r="D80" i="27" s="1"/>
  <c r="S44" i="24"/>
  <c r="G72" i="27" s="1"/>
  <c r="F72" i="27" s="1"/>
  <c r="S42" i="24"/>
  <c r="W36" i="54"/>
  <c r="AN36" i="59"/>
  <c r="AN37" i="59" s="1"/>
  <c r="AJ36" i="30"/>
  <c r="U11" i="24"/>
  <c r="U44" i="23"/>
  <c r="E74" i="27" s="1"/>
  <c r="D74" i="27" s="1"/>
  <c r="AJ36" i="52"/>
  <c r="AI45" i="22"/>
  <c r="AI46" i="22" s="1"/>
  <c r="AI47" i="22" s="1"/>
  <c r="T33" i="57"/>
  <c r="AA33" i="57" s="1"/>
  <c r="Y23" i="63"/>
  <c r="Y12" i="63"/>
  <c r="T11" i="52"/>
  <c r="Y16" i="59"/>
  <c r="U42" i="23"/>
  <c r="T5" i="59"/>
  <c r="AA5" i="59" s="1"/>
  <c r="Y8" i="57"/>
  <c r="AE42" i="24"/>
  <c r="L53" i="22"/>
  <c r="T19" i="39"/>
  <c r="AA19" i="39" s="1"/>
  <c r="Y31" i="63"/>
  <c r="T4" i="47"/>
  <c r="T21" i="48"/>
  <c r="AA21" i="48" s="1"/>
  <c r="Y10" i="45"/>
  <c r="AJ36" i="64"/>
  <c r="B19" i="24"/>
  <c r="AK19" i="24" s="1"/>
  <c r="T9" i="41"/>
  <c r="AA9" i="41" s="1"/>
  <c r="Y17" i="46"/>
  <c r="Y16" i="63"/>
  <c r="T9" i="38"/>
  <c r="AA9" i="38" s="1"/>
  <c r="T12" i="44"/>
  <c r="AA12" i="44" s="1"/>
  <c r="T4" i="40"/>
  <c r="AA4" i="40" s="1"/>
  <c r="O44" i="23"/>
  <c r="E68" i="27" s="1"/>
  <c r="E68" i="25" s="1"/>
  <c r="H42" i="23"/>
  <c r="T17" i="34"/>
  <c r="AA17" i="34" s="1"/>
  <c r="Y17" i="47"/>
  <c r="T33" i="54"/>
  <c r="AA33" i="54" s="1"/>
  <c r="Y8" i="56"/>
  <c r="Y16" i="43"/>
  <c r="T30" i="51"/>
  <c r="AA30" i="51" s="1"/>
  <c r="Y23" i="54"/>
  <c r="Y23" i="32"/>
  <c r="AE44" i="23"/>
  <c r="E84" i="27" s="1"/>
  <c r="D84" i="27" s="1"/>
  <c r="T21" i="34"/>
  <c r="AA21" i="34" s="1"/>
  <c r="T23" i="53"/>
  <c r="AA23" i="53" s="1"/>
  <c r="T9" i="30"/>
  <c r="AA9" i="30" s="1"/>
  <c r="AA18" i="30"/>
  <c r="Y25" i="56"/>
  <c r="AA27" i="51"/>
  <c r="T33" i="45"/>
  <c r="AA33" i="45" s="1"/>
  <c r="L55" i="3"/>
  <c r="O55" i="3" s="1"/>
  <c r="C56" i="3"/>
  <c r="L56" i="3" s="1"/>
  <c r="O56" i="3" s="1"/>
  <c r="AA26" i="60"/>
  <c r="AO3" i="30"/>
  <c r="AN36" i="30"/>
  <c r="AN37" i="30" s="1"/>
  <c r="T26" i="50"/>
  <c r="AA26" i="50" s="1"/>
  <c r="Y26" i="50"/>
  <c r="AO6" i="53"/>
  <c r="AN36" i="53"/>
  <c r="AN37" i="53" s="1"/>
  <c r="T8" i="40"/>
  <c r="AA8" i="40" s="1"/>
  <c r="Y8" i="40"/>
  <c r="T23" i="44"/>
  <c r="AA23" i="44" s="1"/>
  <c r="Y23" i="44"/>
  <c r="W36" i="33"/>
  <c r="Y3" i="32"/>
  <c r="T3" i="32"/>
  <c r="AA3" i="32" s="1"/>
  <c r="AN36" i="37"/>
  <c r="AN37" i="37" s="1"/>
  <c r="AF44" i="24"/>
  <c r="G85" i="27" s="1"/>
  <c r="F85" i="27" s="1"/>
  <c r="AN36" i="41"/>
  <c r="AN37" i="41" s="1"/>
  <c r="L11" i="24"/>
  <c r="L42" i="23"/>
  <c r="T23" i="31"/>
  <c r="AA23" i="31" s="1"/>
  <c r="Y23" i="31"/>
  <c r="Y27" i="36"/>
  <c r="T27" i="36"/>
  <c r="AA27" i="36" s="1"/>
  <c r="T7" i="39"/>
  <c r="AA7" i="39" s="1"/>
  <c r="Y7" i="39"/>
  <c r="T9" i="44"/>
  <c r="AA9" i="44" s="1"/>
  <c r="Y9" i="44"/>
  <c r="T9" i="50"/>
  <c r="AA9" i="50" s="1"/>
  <c r="Y9" i="50"/>
  <c r="Y20" i="59"/>
  <c r="T20" i="59"/>
  <c r="AA20" i="59" s="1"/>
  <c r="T6" i="39"/>
  <c r="AA6" i="39" s="1"/>
  <c r="Y6" i="39"/>
  <c r="Y26" i="32"/>
  <c r="T26" i="32"/>
  <c r="AA26" i="32" s="1"/>
  <c r="Y17" i="43"/>
  <c r="T17" i="43"/>
  <c r="AA17" i="43" s="1"/>
  <c r="T17" i="48"/>
  <c r="AA17" i="48" s="1"/>
  <c r="Y17" i="48"/>
  <c r="Y25" i="57"/>
  <c r="T25" i="57"/>
  <c r="AA25" i="57" s="1"/>
  <c r="Y14" i="43"/>
  <c r="T14" i="43"/>
  <c r="AA14" i="43" s="1"/>
  <c r="Y28" i="55"/>
  <c r="T28" i="55"/>
  <c r="AA28" i="55" s="1"/>
  <c r="Y24" i="58"/>
  <c r="T24" i="58"/>
  <c r="AA24" i="58" s="1"/>
  <c r="T30" i="48"/>
  <c r="AA30" i="48" s="1"/>
  <c r="Y30" i="48"/>
  <c r="X11" i="24"/>
  <c r="X44" i="23"/>
  <c r="E77" i="27" s="1"/>
  <c r="D77" i="27" s="1"/>
  <c r="D11" i="24"/>
  <c r="AK11" i="24" s="1"/>
  <c r="AK44" i="24" s="1"/>
  <c r="D42" i="23"/>
  <c r="D44" i="23"/>
  <c r="E57" i="27" s="1"/>
  <c r="D57" i="27" s="1"/>
  <c r="Y27" i="38"/>
  <c r="T27" i="38"/>
  <c r="AA27" i="38" s="1"/>
  <c r="T25" i="48"/>
  <c r="AA25" i="48" s="1"/>
  <c r="Y25" i="48"/>
  <c r="Y28" i="53"/>
  <c r="T28" i="53"/>
  <c r="AA28" i="53" s="1"/>
  <c r="T5" i="42"/>
  <c r="AA5" i="42" s="1"/>
  <c r="Y5" i="42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Y32" i="42"/>
  <c r="T32" i="42"/>
  <c r="AA32" i="42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T4" i="42"/>
  <c r="AA4" i="42" s="1"/>
  <c r="Y4" i="42"/>
  <c r="Y14" i="36"/>
  <c r="T14" i="36"/>
  <c r="AA14" i="36" s="1"/>
  <c r="Y21" i="37"/>
  <c r="T21" i="37"/>
  <c r="AA21" i="37" s="1"/>
  <c r="Y16" i="31"/>
  <c r="T16" i="31"/>
  <c r="AA16" i="31" s="1"/>
  <c r="Y28" i="59"/>
  <c r="T28" i="59"/>
  <c r="AA28" i="59" s="1"/>
  <c r="T32" i="44"/>
  <c r="AA32" i="44" s="1"/>
  <c r="Y32" i="44"/>
  <c r="T4" i="54"/>
  <c r="AA4" i="54" s="1"/>
  <c r="Y4" i="54"/>
  <c r="AC11" i="24"/>
  <c r="AC42" i="23"/>
  <c r="T27" i="31"/>
  <c r="AA27" i="31" s="1"/>
  <c r="Y27" i="31"/>
  <c r="Y13" i="34"/>
  <c r="T13" i="34"/>
  <c r="AA13" i="34" s="1"/>
  <c r="T19" i="40"/>
  <c r="AA19" i="40" s="1"/>
  <c r="Y19" i="40"/>
  <c r="T15" i="54"/>
  <c r="AA15" i="54" s="1"/>
  <c r="Y15" i="54"/>
  <c r="T22" i="57"/>
  <c r="AA22" i="57" s="1"/>
  <c r="Y22" i="57"/>
  <c r="T20" i="43"/>
  <c r="AA20" i="43" s="1"/>
  <c r="Y20" i="43"/>
  <c r="T32" i="58"/>
  <c r="AA32" i="58" s="1"/>
  <c r="Y32" i="58"/>
  <c r="T8" i="43"/>
  <c r="AA8" i="43" s="1"/>
  <c r="Y8" i="43"/>
  <c r="T19" i="33"/>
  <c r="AA19" i="33" s="1"/>
  <c r="Y19" i="33"/>
  <c r="T42" i="23"/>
  <c r="T44" i="23"/>
  <c r="E73" i="27" s="1"/>
  <c r="D73" i="27" s="1"/>
  <c r="Y9" i="37"/>
  <c r="T9" i="37"/>
  <c r="AA9" i="37" s="1"/>
  <c r="Y7" i="49"/>
  <c r="T7" i="49"/>
  <c r="AA7" i="49" s="1"/>
  <c r="Y27" i="55"/>
  <c r="T27" i="55"/>
  <c r="AA27" i="55" s="1"/>
  <c r="T30" i="42"/>
  <c r="AA30" i="42" s="1"/>
  <c r="Y30" i="42"/>
  <c r="Y18" i="32"/>
  <c r="T18" i="32"/>
  <c r="AA18" i="32" s="1"/>
  <c r="Y12" i="53"/>
  <c r="T12" i="53"/>
  <c r="AA12" i="53" s="1"/>
  <c r="Y25" i="47"/>
  <c r="T25" i="47"/>
  <c r="AA25" i="47" s="1"/>
  <c r="L44" i="23"/>
  <c r="T7" i="44"/>
  <c r="AA7" i="44" s="1"/>
  <c r="Y11" i="56"/>
  <c r="T25" i="42"/>
  <c r="AA25" i="42" s="1"/>
  <c r="Y10" i="33"/>
  <c r="T22" i="41"/>
  <c r="AA22" i="41" s="1"/>
  <c r="T14" i="41"/>
  <c r="AA14" i="41" s="1"/>
  <c r="I44" i="24"/>
  <c r="G62" i="27" s="1"/>
  <c r="F62" i="27" s="1"/>
  <c r="W44" i="23"/>
  <c r="E76" i="27" s="1"/>
  <c r="D76" i="27" s="1"/>
  <c r="I42" i="23"/>
  <c r="I44" i="23"/>
  <c r="E62" i="27" s="1"/>
  <c r="D62" i="27" s="1"/>
  <c r="M11" i="24"/>
  <c r="T28" i="54"/>
  <c r="AA28" i="54" s="1"/>
  <c r="T5" i="33"/>
  <c r="AA5" i="33" s="1"/>
  <c r="J42" i="23"/>
  <c r="Z44" i="23"/>
  <c r="T12" i="45"/>
  <c r="AA12" i="45" s="1"/>
  <c r="Y27" i="63"/>
  <c r="Y19" i="63"/>
  <c r="Y11" i="33"/>
  <c r="Y9" i="43"/>
  <c r="Y27" i="54"/>
  <c r="Z42" i="23"/>
  <c r="Y10" i="64"/>
  <c r="Y4" i="64"/>
  <c r="T29" i="54"/>
  <c r="AA29" i="54" s="1"/>
  <c r="T20" i="44"/>
  <c r="AA20" i="44" s="1"/>
  <c r="T7" i="54"/>
  <c r="AA7" i="54" s="1"/>
  <c r="Y5" i="47"/>
  <c r="Y27" i="52"/>
  <c r="Y6" i="57"/>
  <c r="T26" i="55"/>
  <c r="AA26" i="55" s="1"/>
  <c r="T5" i="34"/>
  <c r="AA5" i="34" s="1"/>
  <c r="Y17" i="56"/>
  <c r="Y22" i="42"/>
  <c r="K11" i="24"/>
  <c r="M42" i="23"/>
  <c r="Y26" i="44"/>
  <c r="T12" i="40"/>
  <c r="AA12" i="40" s="1"/>
  <c r="Y19" i="64"/>
  <c r="Y18" i="33"/>
  <c r="T21" i="43"/>
  <c r="AA21" i="43" s="1"/>
  <c r="Y14" i="34"/>
  <c r="T28" i="49"/>
  <c r="AA28" i="49" s="1"/>
  <c r="Z36" i="49"/>
  <c r="Y28" i="63"/>
  <c r="Y20" i="63"/>
  <c r="Y8" i="63"/>
  <c r="T17" i="53"/>
  <c r="AA17" i="53" s="1"/>
  <c r="R49" i="23"/>
  <c r="E71" i="26" s="1"/>
  <c r="D71" i="26" s="1"/>
  <c r="Y26" i="64"/>
  <c r="Y25" i="64"/>
  <c r="Y13" i="64"/>
  <c r="Y28" i="64"/>
  <c r="Y12" i="64"/>
  <c r="Y27" i="64"/>
  <c r="T22" i="47"/>
  <c r="AA22" i="47" s="1"/>
  <c r="Y7" i="60"/>
  <c r="T33" i="61"/>
  <c r="AA33" i="61" s="1"/>
  <c r="Y15" i="58"/>
  <c r="AH11" i="24"/>
  <c r="AH44" i="24" s="1"/>
  <c r="G87" i="27" s="1"/>
  <c r="F87" i="27" s="1"/>
  <c r="Y16" i="57"/>
  <c r="T16" i="57"/>
  <c r="AA16" i="57" s="1"/>
  <c r="Y12" i="41"/>
  <c r="T12" i="41"/>
  <c r="AA12" i="41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33" i="30"/>
  <c r="T33" i="30"/>
  <c r="AA33" i="30" s="1"/>
  <c r="T10" i="38"/>
  <c r="AA10" i="38" s="1"/>
  <c r="Y10" i="38"/>
  <c r="T17" i="37"/>
  <c r="AA17" i="37" s="1"/>
  <c r="Y17" i="37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AD49" i="23"/>
  <c r="E83" i="26" s="1"/>
  <c r="D83" i="26" s="1"/>
  <c r="D83" i="25" s="1"/>
  <c r="AU31" i="28" s="1"/>
  <c r="AD25" i="24"/>
  <c r="AD48" i="24" s="1"/>
  <c r="G83" i="26" s="1"/>
  <c r="F83" i="26" s="1"/>
  <c r="T3" i="36"/>
  <c r="AA3" i="36" s="1"/>
  <c r="Y3" i="36"/>
  <c r="Y19" i="49"/>
  <c r="T19" i="49"/>
  <c r="AA19" i="49" s="1"/>
  <c r="T3" i="63"/>
  <c r="Y25" i="63"/>
  <c r="Y15" i="63"/>
  <c r="V49" i="23"/>
  <c r="E75" i="26" s="1"/>
  <c r="D75" i="26" s="1"/>
  <c r="J25" i="24"/>
  <c r="J48" i="24" s="1"/>
  <c r="G63" i="26" s="1"/>
  <c r="F63" i="26" s="1"/>
  <c r="Y14" i="64"/>
  <c r="T29" i="41"/>
  <c r="AA29" i="41" s="1"/>
  <c r="Y21" i="64"/>
  <c r="T21" i="39"/>
  <c r="AA21" i="39" s="1"/>
  <c r="Y31" i="58"/>
  <c r="Y6" i="43"/>
  <c r="T6" i="43"/>
  <c r="AA6" i="43" s="1"/>
  <c r="Y13" i="55"/>
  <c r="T13" i="55"/>
  <c r="AA13" i="55" s="1"/>
  <c r="Y22" i="38"/>
  <c r="T22" i="38"/>
  <c r="AA22" i="38" s="1"/>
  <c r="T20" i="48"/>
  <c r="AA20" i="48" s="1"/>
  <c r="Y20" i="48"/>
  <c r="T13" i="33"/>
  <c r="AA13" i="33" s="1"/>
  <c r="Y13" i="33"/>
  <c r="Y18" i="54"/>
  <c r="T18" i="54"/>
  <c r="AA18" i="54" s="1"/>
  <c r="Y13" i="41"/>
  <c r="T13" i="41"/>
  <c r="AA13" i="41" s="1"/>
  <c r="Y22" i="36"/>
  <c r="T22" i="36"/>
  <c r="AA22" i="36" s="1"/>
  <c r="Y10" i="36"/>
  <c r="T10" i="36"/>
  <c r="AA10" i="36" s="1"/>
  <c r="Y31" i="33"/>
  <c r="T31" i="33"/>
  <c r="AA31" i="33" s="1"/>
  <c r="T31" i="46"/>
  <c r="AA31" i="46" s="1"/>
  <c r="Y31" i="46"/>
  <c r="Y33" i="55"/>
  <c r="T33" i="55"/>
  <c r="AA33" i="55" s="1"/>
  <c r="Y14" i="45"/>
  <c r="T14" i="45"/>
  <c r="AA14" i="45" s="1"/>
  <c r="T3" i="33"/>
  <c r="AA3" i="33" s="1"/>
  <c r="Y3" i="33"/>
  <c r="Y3" i="35"/>
  <c r="T3" i="35"/>
  <c r="AA3" i="35" s="1"/>
  <c r="Y19" i="41"/>
  <c r="T19" i="41"/>
  <c r="AA19" i="41" s="1"/>
  <c r="T19" i="54"/>
  <c r="AA19" i="54" s="1"/>
  <c r="Y19" i="54"/>
  <c r="I78" i="25"/>
  <c r="Y11" i="54"/>
  <c r="Y21" i="56"/>
  <c r="Y21" i="63"/>
  <c r="Y11" i="63"/>
  <c r="Y7" i="63"/>
  <c r="Q31" i="29"/>
  <c r="X31" i="29" s="1"/>
  <c r="Y21" i="57"/>
  <c r="N49" i="23"/>
  <c r="E67" i="26" s="1"/>
  <c r="T18" i="52"/>
  <c r="AA18" i="52" s="1"/>
  <c r="Y3" i="62"/>
  <c r="Y7" i="64"/>
  <c r="T28" i="37"/>
  <c r="AA28" i="37" s="1"/>
  <c r="Y28" i="37"/>
  <c r="T28" i="48"/>
  <c r="AA28" i="48" s="1"/>
  <c r="Y28" i="48"/>
  <c r="Y24" i="40"/>
  <c r="T24" i="40"/>
  <c r="AA24" i="40" s="1"/>
  <c r="Y31" i="61"/>
  <c r="T31" i="61"/>
  <c r="AA31" i="61" s="1"/>
  <c r="T5" i="40"/>
  <c r="AA5" i="40" s="1"/>
  <c r="Y5" i="40"/>
  <c r="Y10" i="46"/>
  <c r="T10" i="46"/>
  <c r="AA10" i="46" s="1"/>
  <c r="Y18" i="40"/>
  <c r="T18" i="40"/>
  <c r="AA18" i="40" s="1"/>
  <c r="Y13" i="61"/>
  <c r="T13" i="61"/>
  <c r="AA13" i="61" s="1"/>
  <c r="T14" i="49"/>
  <c r="AA14" i="49" s="1"/>
  <c r="Y14" i="49"/>
  <c r="T17" i="33"/>
  <c r="AA17" i="33" s="1"/>
  <c r="Y17" i="33"/>
  <c r="Y31" i="40"/>
  <c r="T31" i="40"/>
  <c r="AA31" i="40" s="1"/>
  <c r="Y11" i="49"/>
  <c r="T11" i="49"/>
  <c r="AA11" i="49" s="1"/>
  <c r="T31" i="54"/>
  <c r="AA31" i="54" s="1"/>
  <c r="Y31" i="54"/>
  <c r="T22" i="37"/>
  <c r="AA22" i="37" s="1"/>
  <c r="Y22" i="37"/>
  <c r="T32" i="57"/>
  <c r="AA32" i="57" s="1"/>
  <c r="Y32" i="57"/>
  <c r="R44" i="24"/>
  <c r="G71" i="27" s="1"/>
  <c r="T19" i="56"/>
  <c r="AA19" i="56" s="1"/>
  <c r="Y33" i="63"/>
  <c r="T11" i="42"/>
  <c r="AA11" i="42" s="1"/>
  <c r="AH42" i="24"/>
  <c r="Y6" i="64"/>
  <c r="T23" i="47"/>
  <c r="AA23" i="47" s="1"/>
  <c r="Y16" i="61"/>
  <c r="T16" i="61"/>
  <c r="AA16" i="61" s="1"/>
  <c r="Y20" i="60"/>
  <c r="T20" i="60"/>
  <c r="AA20" i="60" s="1"/>
  <c r="B23" i="24"/>
  <c r="AK23" i="24" s="1"/>
  <c r="AK23" i="23"/>
  <c r="Y13" i="47"/>
  <c r="T13" i="47"/>
  <c r="AA13" i="47" s="1"/>
  <c r="T44" i="24"/>
  <c r="G73" i="27" s="1"/>
  <c r="F73" i="27" s="1"/>
  <c r="T42" i="24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Y16" i="37"/>
  <c r="T16" i="37"/>
  <c r="AA16" i="37" s="1"/>
  <c r="Q16" i="29"/>
  <c r="X16" i="29" s="1"/>
  <c r="V16" i="29"/>
  <c r="D88" i="27"/>
  <c r="AJ25" i="24"/>
  <c r="AJ48" i="24" s="1"/>
  <c r="AJ49" i="23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Y26" i="30"/>
  <c r="T26" i="30"/>
  <c r="AA26" i="30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Y21" i="32"/>
  <c r="T21" i="32"/>
  <c r="AA21" i="32" s="1"/>
  <c r="T8" i="35"/>
  <c r="AA8" i="35" s="1"/>
  <c r="Y8" i="35"/>
  <c r="T19" i="48"/>
  <c r="AA19" i="48" s="1"/>
  <c r="Y19" i="48"/>
  <c r="T14" i="53"/>
  <c r="AA14" i="53" s="1"/>
  <c r="Y14" i="53"/>
  <c r="R36" i="64"/>
  <c r="Y3" i="58"/>
  <c r="T25" i="58"/>
  <c r="AA25" i="58" s="1"/>
  <c r="Y30" i="63"/>
  <c r="Y26" i="63"/>
  <c r="Y22" i="63"/>
  <c r="Y18" i="63"/>
  <c r="Y14" i="63"/>
  <c r="T23" i="42"/>
  <c r="AA23" i="42" s="1"/>
  <c r="T31" i="47"/>
  <c r="AA31" i="47" s="1"/>
  <c r="K49" i="23"/>
  <c r="E64" i="26" s="1"/>
  <c r="D64" i="26" s="1"/>
  <c r="AE49" i="23"/>
  <c r="E84" i="26" s="1"/>
  <c r="D84" i="26" s="1"/>
  <c r="Y11" i="64"/>
  <c r="C95" i="27"/>
  <c r="C97" i="27" s="1"/>
  <c r="T12" i="61"/>
  <c r="AA12" i="61" s="1"/>
  <c r="Y12" i="61"/>
  <c r="N42" i="24"/>
  <c r="N44" i="24"/>
  <c r="G67" i="27" s="1"/>
  <c r="F67" i="27" s="1"/>
  <c r="F67" i="25" s="1"/>
  <c r="T33" i="35"/>
  <c r="AA33" i="35" s="1"/>
  <c r="Y33" i="35"/>
  <c r="T18" i="48"/>
  <c r="AA18" i="48" s="1"/>
  <c r="Y18" i="48"/>
  <c r="Y17" i="32"/>
  <c r="T17" i="32"/>
  <c r="AA17" i="32" s="1"/>
  <c r="T7" i="41"/>
  <c r="AA7" i="41" s="1"/>
  <c r="Y7" i="41"/>
  <c r="Y27" i="43"/>
  <c r="T27" i="43"/>
  <c r="AA27" i="43" s="1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P44" i="24"/>
  <c r="G69" i="27" s="1"/>
  <c r="F69" i="27" s="1"/>
  <c r="F69" i="25" s="1"/>
  <c r="P42" i="24"/>
  <c r="T14" i="51"/>
  <c r="AA14" i="51" s="1"/>
  <c r="Y14" i="51"/>
  <c r="B12" i="24"/>
  <c r="AK12" i="24" s="1"/>
  <c r="Y28" i="62"/>
  <c r="Y11" i="50"/>
  <c r="Y25" i="32"/>
  <c r="I85" i="25"/>
  <c r="Y18" i="64"/>
  <c r="Y8" i="64"/>
  <c r="Z36" i="36"/>
  <c r="B13" i="24"/>
  <c r="AK13" i="24" s="1"/>
  <c r="AK13" i="23"/>
  <c r="B37" i="24"/>
  <c r="AK37" i="24" s="1"/>
  <c r="AK37" i="23"/>
  <c r="D87" i="27"/>
  <c r="AJ11" i="24"/>
  <c r="AJ44" i="23"/>
  <c r="AJ42" i="23"/>
  <c r="T31" i="30"/>
  <c r="AA31" i="30" s="1"/>
  <c r="Y31" i="30"/>
  <c r="T33" i="48"/>
  <c r="AA33" i="48" s="1"/>
  <c r="Y33" i="48"/>
  <c r="T20" i="51"/>
  <c r="AA20" i="51" s="1"/>
  <c r="Y20" i="51"/>
  <c r="T20" i="53"/>
  <c r="AA20" i="53" s="1"/>
  <c r="Y20" i="53"/>
  <c r="B39" i="24"/>
  <c r="AK39" i="24" s="1"/>
  <c r="AK39" i="23"/>
  <c r="Y5" i="32"/>
  <c r="T5" i="32"/>
  <c r="AA5" i="32" s="1"/>
  <c r="T7" i="53"/>
  <c r="AA7" i="53" s="1"/>
  <c r="Y7" i="53"/>
  <c r="T9" i="35"/>
  <c r="AA9" i="35" s="1"/>
  <c r="Y9" i="35"/>
  <c r="T4" i="32"/>
  <c r="AA4" i="32" s="1"/>
  <c r="Y4" i="32"/>
  <c r="Y29" i="36"/>
  <c r="T29" i="36"/>
  <c r="AA29" i="36" s="1"/>
  <c r="Y26" i="43"/>
  <c r="T26" i="43"/>
  <c r="AA26" i="43" s="1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C49" i="23"/>
  <c r="E56" i="26" s="1"/>
  <c r="D56" i="26" s="1"/>
  <c r="D56" i="25" s="1"/>
  <c r="AU4" i="28" s="1"/>
  <c r="Y22" i="64"/>
  <c r="Y29" i="64"/>
  <c r="Z36" i="64"/>
  <c r="G69" i="25"/>
  <c r="G78" i="25"/>
  <c r="I72" i="25"/>
  <c r="I89" i="25"/>
  <c r="I53" i="26"/>
  <c r="I83" i="25"/>
  <c r="D82" i="25"/>
  <c r="AU30" i="28" s="1"/>
  <c r="D78" i="25"/>
  <c r="AU26" i="28" s="1"/>
  <c r="I84" i="25"/>
  <c r="I74" i="25"/>
  <c r="AK45" i="21"/>
  <c r="T24" i="44"/>
  <c r="AA24" i="44" s="1"/>
  <c r="Y24" i="44"/>
  <c r="T30" i="62"/>
  <c r="AA30" i="62" s="1"/>
  <c r="Y30" i="62"/>
  <c r="Y9" i="34"/>
  <c r="T9" i="34"/>
  <c r="AA9" i="34" s="1"/>
  <c r="Y31" i="42"/>
  <c r="T31" i="42"/>
  <c r="AA31" i="42" s="1"/>
  <c r="Y3" i="55"/>
  <c r="T3" i="55"/>
  <c r="AA3" i="55" s="1"/>
  <c r="T7" i="57"/>
  <c r="AA7" i="57" s="1"/>
  <c r="Y7" i="57"/>
  <c r="Q18" i="29"/>
  <c r="X18" i="29" s="1"/>
  <c r="V18" i="29"/>
  <c r="T16" i="32"/>
  <c r="AA16" i="32" s="1"/>
  <c r="Y16" i="32"/>
  <c r="T23" i="36"/>
  <c r="AA23" i="36" s="1"/>
  <c r="Y23" i="36"/>
  <c r="T10" i="42"/>
  <c r="AA10" i="42" s="1"/>
  <c r="Y10" i="42"/>
  <c r="T32" i="51"/>
  <c r="AA32" i="51" s="1"/>
  <c r="Y32" i="51"/>
  <c r="Y24" i="53"/>
  <c r="T24" i="53"/>
  <c r="AA24" i="53" s="1"/>
  <c r="T8" i="54"/>
  <c r="AA8" i="54" s="1"/>
  <c r="Y8" i="54"/>
  <c r="T22" i="30"/>
  <c r="AA22" i="30" s="1"/>
  <c r="Y22" i="30"/>
  <c r="T33" i="42"/>
  <c r="AA33" i="42" s="1"/>
  <c r="Y33" i="42"/>
  <c r="Y30" i="34"/>
  <c r="T30" i="34"/>
  <c r="AA30" i="34" s="1"/>
  <c r="T13" i="51"/>
  <c r="AA13" i="51" s="1"/>
  <c r="Y13" i="51"/>
  <c r="T32" i="47"/>
  <c r="AA32" i="47" s="1"/>
  <c r="Y32" i="47"/>
  <c r="T4" i="33"/>
  <c r="AA4" i="33" s="1"/>
  <c r="Y4" i="33"/>
  <c r="T29" i="62"/>
  <c r="AA29" i="62" s="1"/>
  <c r="Y29" i="62"/>
  <c r="Y16" i="34"/>
  <c r="T16" i="34"/>
  <c r="AA16" i="34" s="1"/>
  <c r="Y24" i="35"/>
  <c r="T24" i="35"/>
  <c r="AA24" i="35" s="1"/>
  <c r="T26" i="56"/>
  <c r="AA26" i="56" s="1"/>
  <c r="Y26" i="56"/>
  <c r="T8" i="39"/>
  <c r="AA8" i="39" s="1"/>
  <c r="Y8" i="39"/>
  <c r="Y26" i="46"/>
  <c r="T26" i="46"/>
  <c r="AA26" i="46" s="1"/>
  <c r="T18" i="61"/>
  <c r="AA18" i="61" s="1"/>
  <c r="Y18" i="61"/>
  <c r="Q29" i="29"/>
  <c r="X29" i="29" s="1"/>
  <c r="V29" i="29"/>
  <c r="Y29" i="33"/>
  <c r="T29" i="33"/>
  <c r="AA29" i="33" s="1"/>
  <c r="T20" i="40"/>
  <c r="AA20" i="40" s="1"/>
  <c r="Y20" i="40"/>
  <c r="Y26" i="41"/>
  <c r="T26" i="41"/>
  <c r="AA26" i="41" s="1"/>
  <c r="T29" i="42"/>
  <c r="AA29" i="42" s="1"/>
  <c r="Y29" i="42"/>
  <c r="T23" i="46"/>
  <c r="AA23" i="46" s="1"/>
  <c r="Y23" i="46"/>
  <c r="Y7" i="51"/>
  <c r="T7" i="51"/>
  <c r="AA7" i="51" s="1"/>
  <c r="T31" i="34"/>
  <c r="AA31" i="34" s="1"/>
  <c r="Y31" i="34"/>
  <c r="T7" i="36"/>
  <c r="AA7" i="36" s="1"/>
  <c r="Y7" i="36"/>
  <c r="Y6" i="42"/>
  <c r="T6" i="42"/>
  <c r="AA6" i="42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5" i="30"/>
  <c r="T25" i="30"/>
  <c r="AA25" i="30" s="1"/>
  <c r="Y8" i="36"/>
  <c r="T8" i="36"/>
  <c r="AA8" i="36" s="1"/>
  <c r="Y29" i="39"/>
  <c r="T29" i="39"/>
  <c r="AA29" i="39" s="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33"/>
  <c r="Z36" i="58"/>
  <c r="Y30" i="64"/>
  <c r="R36" i="63"/>
  <c r="Y5" i="30"/>
  <c r="T5" i="30"/>
  <c r="AA5" i="30" s="1"/>
  <c r="Y4" i="35"/>
  <c r="T4" i="35"/>
  <c r="AA4" i="35" s="1"/>
  <c r="T8" i="58"/>
  <c r="AA8" i="58" s="1"/>
  <c r="Y8" i="58"/>
  <c r="Y6" i="36"/>
  <c r="T6" i="36"/>
  <c r="AA6" i="36" s="1"/>
  <c r="Y26" i="42"/>
  <c r="T26" i="42"/>
  <c r="AA26" i="42" s="1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T4" i="31"/>
  <c r="AA4" i="31" s="1"/>
  <c r="Y4" i="31"/>
  <c r="Q11" i="29"/>
  <c r="X11" i="29" s="1"/>
  <c r="V11" i="29"/>
  <c r="T31" i="36"/>
  <c r="AA31" i="36" s="1"/>
  <c r="Y31" i="36"/>
  <c r="Y21" i="38"/>
  <c r="T21" i="38"/>
  <c r="AA21" i="38" s="1"/>
  <c r="T15" i="38"/>
  <c r="AA15" i="38" s="1"/>
  <c r="Y15" i="38"/>
  <c r="T32" i="39"/>
  <c r="AA32" i="39" s="1"/>
  <c r="Y32" i="3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" i="30"/>
  <c r="AA3" i="30" s="1"/>
  <c r="Y3" i="30"/>
  <c r="T8" i="32"/>
  <c r="AA8" i="32" s="1"/>
  <c r="Y8" i="32"/>
  <c r="T8" i="33"/>
  <c r="AA8" i="33" s="1"/>
  <c r="Y8" i="33"/>
  <c r="T32" i="53"/>
  <c r="AA32" i="53" s="1"/>
  <c r="Y32" i="53"/>
  <c r="T16" i="54"/>
  <c r="AA16" i="54" s="1"/>
  <c r="Y16" i="54"/>
  <c r="Y33" i="32"/>
  <c r="T33" i="32"/>
  <c r="AA33" i="32" s="1"/>
  <c r="Y27" i="39"/>
  <c r="T27" i="39"/>
  <c r="AA27" i="39" s="1"/>
  <c r="Y28" i="39"/>
  <c r="T28" i="39"/>
  <c r="AA28" i="39" s="1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T31" i="39"/>
  <c r="AA31" i="39" s="1"/>
  <c r="G75" i="25"/>
  <c r="Y15" i="64"/>
  <c r="Y19" i="61"/>
  <c r="T19" i="61"/>
  <c r="AA19" i="61" s="1"/>
  <c r="T25" i="35"/>
  <c r="AA25" i="35" s="1"/>
  <c r="Y25" i="35"/>
  <c r="T20" i="38"/>
  <c r="AA20" i="38" s="1"/>
  <c r="Y20" i="38"/>
  <c r="T19" i="58"/>
  <c r="AA19" i="58" s="1"/>
  <c r="Y19" i="58"/>
  <c r="T32" i="43"/>
  <c r="AA32" i="43" s="1"/>
  <c r="Y32" i="43"/>
  <c r="Y16" i="40"/>
  <c r="T16" i="40"/>
  <c r="AA16" i="40" s="1"/>
  <c r="Y14" i="39"/>
  <c r="T14" i="39"/>
  <c r="AA14" i="39" s="1"/>
  <c r="T27" i="62"/>
  <c r="R36" i="62"/>
  <c r="T25" i="46"/>
  <c r="AA25" i="46" s="1"/>
  <c r="Y25" i="46"/>
  <c r="T24" i="45"/>
  <c r="AA24" i="45" s="1"/>
  <c r="Y24" i="45"/>
  <c r="Y10" i="51"/>
  <c r="T10" i="51"/>
  <c r="AA10" i="51" s="1"/>
  <c r="Y17" i="36"/>
  <c r="T17" i="36"/>
  <c r="AA17" i="36" s="1"/>
  <c r="Y3" i="39"/>
  <c r="T3" i="39"/>
  <c r="AA3" i="39" s="1"/>
  <c r="T28" i="42"/>
  <c r="AA28" i="42" s="1"/>
  <c r="Y28" i="42"/>
  <c r="T17" i="42"/>
  <c r="AA17" i="42" s="1"/>
  <c r="Y17" i="42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19" i="36"/>
  <c r="T19" i="36"/>
  <c r="AA19" i="36" s="1"/>
  <c r="T12" i="42"/>
  <c r="AA12" i="42" s="1"/>
  <c r="Y12" i="4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9" i="31"/>
  <c r="AA9" i="31" s="1"/>
  <c r="Y9" i="31"/>
  <c r="Y20" i="36"/>
  <c r="T20" i="36"/>
  <c r="AA20" i="36" s="1"/>
  <c r="T4" i="37"/>
  <c r="AA4" i="37" s="1"/>
  <c r="Y4" i="37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T13" i="42"/>
  <c r="AA13" i="42" s="1"/>
  <c r="Y13" i="42"/>
  <c r="T36" i="63"/>
  <c r="Z36" i="60"/>
  <c r="T36" i="64"/>
  <c r="Y23" i="64"/>
  <c r="W25" i="24"/>
  <c r="W48" i="24" s="1"/>
  <c r="G76" i="26" s="1"/>
  <c r="F76" i="26" s="1"/>
  <c r="W49" i="23"/>
  <c r="E76" i="26" s="1"/>
  <c r="D49" i="23"/>
  <c r="E57" i="26" s="1"/>
  <c r="D25" i="24"/>
  <c r="D48" i="24" s="1"/>
  <c r="G57" i="26" s="1"/>
  <c r="AB25" i="24"/>
  <c r="AB48" i="24" s="1"/>
  <c r="G81" i="26" s="1"/>
  <c r="AB49" i="23"/>
  <c r="E81" i="26" s="1"/>
  <c r="E82" i="25"/>
  <c r="X49" i="23"/>
  <c r="E77" i="26" s="1"/>
  <c r="D77" i="26" s="1"/>
  <c r="M25" i="24"/>
  <c r="M48" i="24" s="1"/>
  <c r="G66" i="26" s="1"/>
  <c r="F66" i="26" s="1"/>
  <c r="M49" i="23"/>
  <c r="E66" i="26" s="1"/>
  <c r="S25" i="24"/>
  <c r="S48" i="24" s="1"/>
  <c r="S49" i="23"/>
  <c r="AG49" i="23"/>
  <c r="E86" i="26" s="1"/>
  <c r="D86" i="26" s="1"/>
  <c r="AG25" i="24"/>
  <c r="U25" i="24"/>
  <c r="U48" i="24" s="1"/>
  <c r="G74" i="26" s="1"/>
  <c r="U49" i="23"/>
  <c r="B17" i="24"/>
  <c r="AK17" i="24" s="1"/>
  <c r="AA25" i="24"/>
  <c r="AA48" i="24" s="1"/>
  <c r="G80" i="26" s="1"/>
  <c r="AA49" i="23"/>
  <c r="E80" i="26" s="1"/>
  <c r="B49" i="23"/>
  <c r="B25" i="24"/>
  <c r="B40" i="24"/>
  <c r="AK40" i="24" s="1"/>
  <c r="B32" i="24"/>
  <c r="AK32" i="24" s="1"/>
  <c r="Z25" i="24"/>
  <c r="Z48" i="24" s="1"/>
  <c r="G79" i="26" s="1"/>
  <c r="F79" i="26" s="1"/>
  <c r="Z49" i="23"/>
  <c r="Q25" i="24"/>
  <c r="Q48" i="24" s="1"/>
  <c r="G70" i="26" s="1"/>
  <c r="Q49" i="23"/>
  <c r="E70" i="26" s="1"/>
  <c r="D70" i="26" s="1"/>
  <c r="D70" i="25" s="1"/>
  <c r="AU18" i="28" s="1"/>
  <c r="AF25" i="24"/>
  <c r="AF48" i="24" s="1"/>
  <c r="G85" i="26" s="1"/>
  <c r="AF49" i="23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F25" i="24"/>
  <c r="F48" i="24" s="1"/>
  <c r="G59" i="26" s="1"/>
  <c r="F59" i="26" s="1"/>
  <c r="F49" i="23"/>
  <c r="P53" i="22"/>
  <c r="P58" i="22"/>
  <c r="P59" i="22" s="1"/>
  <c r="X53" i="22"/>
  <c r="X58" i="22"/>
  <c r="X59" i="22" s="1"/>
  <c r="AL50" i="22"/>
  <c r="F75" i="27"/>
  <c r="F75" i="25" s="1"/>
  <c r="I49" i="23"/>
  <c r="E62" i="26" s="1"/>
  <c r="T25" i="24"/>
  <c r="T48" i="24" s="1"/>
  <c r="T49" i="23"/>
  <c r="L25" i="24"/>
  <c r="L48" i="24" s="1"/>
  <c r="G65" i="26" s="1"/>
  <c r="L49" i="23"/>
  <c r="E65" i="26" s="1"/>
  <c r="D65" i="26" s="1"/>
  <c r="B29" i="24"/>
  <c r="AK29" i="24" s="1"/>
  <c r="G25" i="24"/>
  <c r="G48" i="24" s="1"/>
  <c r="G60" i="26" s="1"/>
  <c r="G49" i="23"/>
  <c r="E60" i="26" s="1"/>
  <c r="D67" i="26"/>
  <c r="D67" i="25" s="1"/>
  <c r="AU15" i="28" s="1"/>
  <c r="E67" i="25"/>
  <c r="B52" i="22"/>
  <c r="AK52" i="22" s="1"/>
  <c r="AK53" i="22" s="1"/>
  <c r="B21" i="24"/>
  <c r="AK21" i="24" s="1"/>
  <c r="AL23" i="24" s="1"/>
  <c r="AH49" i="23"/>
  <c r="E87" i="26" s="1"/>
  <c r="D87" i="26" s="1"/>
  <c r="AH25" i="24"/>
  <c r="AH48" i="24" s="1"/>
  <c r="G87" i="26" s="1"/>
  <c r="E58" i="25"/>
  <c r="B27" i="24"/>
  <c r="AK27" i="24" s="1"/>
  <c r="O42" i="24"/>
  <c r="O44" i="24"/>
  <c r="D58" i="25"/>
  <c r="AU6" i="28" s="1"/>
  <c r="B34" i="24"/>
  <c r="AK34" i="24" s="1"/>
  <c r="B31" i="24"/>
  <c r="AK31" i="24" s="1"/>
  <c r="C42" i="24"/>
  <c r="C44" i="24"/>
  <c r="AN40" i="24"/>
  <c r="AQ40" i="24" s="1"/>
  <c r="AN39" i="24"/>
  <c r="AQ39" i="24" s="1"/>
  <c r="AQ26" i="23"/>
  <c r="D55" i="27"/>
  <c r="G63" i="27"/>
  <c r="AQ30" i="23"/>
  <c r="AI49" i="23"/>
  <c r="E88" i="26" s="1"/>
  <c r="E88" i="25" s="1"/>
  <c r="AI25" i="24"/>
  <c r="AI48" i="24" s="1"/>
  <c r="G88" i="26" s="1"/>
  <c r="F88" i="26" s="1"/>
  <c r="AI42" i="24"/>
  <c r="AI44" i="24"/>
  <c r="G88" i="27" s="1"/>
  <c r="D75" i="27"/>
  <c r="B24" i="24"/>
  <c r="AK24" i="24" s="1"/>
  <c r="AN44" i="23"/>
  <c r="E53" i="27" s="1"/>
  <c r="AN41" i="24"/>
  <c r="AQ41" i="24" s="1"/>
  <c r="AQ25" i="23"/>
  <c r="AN49" i="23"/>
  <c r="B41" i="24"/>
  <c r="AK41" i="24" s="1"/>
  <c r="B16" i="24"/>
  <c r="AK16" i="24" s="1"/>
  <c r="AN42" i="23"/>
  <c r="AQ42" i="23" s="1"/>
  <c r="AK42" i="21"/>
  <c r="AK44" i="21" s="1"/>
  <c r="AN36" i="64"/>
  <c r="AN37" i="64" s="1"/>
  <c r="AO3" i="64"/>
  <c r="AA3" i="64"/>
  <c r="AA36" i="64" s="1"/>
  <c r="I53" i="27"/>
  <c r="Y25" i="61"/>
  <c r="T25" i="61"/>
  <c r="AA25" i="61" s="1"/>
  <c r="R36" i="61"/>
  <c r="Y3" i="61"/>
  <c r="T3" i="61"/>
  <c r="T12" i="31"/>
  <c r="AA12" i="31" s="1"/>
  <c r="Y12" i="31"/>
  <c r="T12" i="33"/>
  <c r="AA12" i="33" s="1"/>
  <c r="Y12" i="33"/>
  <c r="R36" i="33"/>
  <c r="T28" i="35"/>
  <c r="AA28" i="35" s="1"/>
  <c r="Y28" i="35"/>
  <c r="T16" i="36"/>
  <c r="AA16" i="36" s="1"/>
  <c r="Y16" i="36"/>
  <c r="Y32" i="37"/>
  <c r="T32" i="37"/>
  <c r="AA32" i="37" s="1"/>
  <c r="T8" i="37"/>
  <c r="AA8" i="37" s="1"/>
  <c r="Y8" i="37"/>
  <c r="T16" i="39"/>
  <c r="AA16" i="39" s="1"/>
  <c r="Y16" i="39"/>
  <c r="Y32" i="40"/>
  <c r="T32" i="40"/>
  <c r="AA32" i="40" s="1"/>
  <c r="T24" i="42"/>
  <c r="AA24" i="42" s="1"/>
  <c r="Y24" i="42"/>
  <c r="T18" i="43"/>
  <c r="AA18" i="43" s="1"/>
  <c r="Y18" i="43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T12" i="35"/>
  <c r="AA12" i="35" s="1"/>
  <c r="Y12" i="35"/>
  <c r="R36" i="35"/>
  <c r="Y33" i="36"/>
  <c r="T33" i="36"/>
  <c r="AA33" i="36" s="1"/>
  <c r="T26" i="36"/>
  <c r="AA26" i="36" s="1"/>
  <c r="Y26" i="36"/>
  <c r="R36" i="37"/>
  <c r="T7" i="37"/>
  <c r="AA7" i="37" s="1"/>
  <c r="Y7" i="37"/>
  <c r="T23" i="38"/>
  <c r="AA23" i="38" s="1"/>
  <c r="Y23" i="38"/>
  <c r="Y17" i="38"/>
  <c r="T17" i="38"/>
  <c r="AA17" i="38" s="1"/>
  <c r="Y13" i="38"/>
  <c r="T13" i="38"/>
  <c r="AA13" i="38" s="1"/>
  <c r="R36" i="38"/>
  <c r="T30" i="39"/>
  <c r="AA30" i="39" s="1"/>
  <c r="Y30" i="39"/>
  <c r="T24" i="39"/>
  <c r="AA24" i="39" s="1"/>
  <c r="Y24" i="39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32" i="32"/>
  <c r="T32" i="32"/>
  <c r="AA32" i="32" s="1"/>
  <c r="AA6" i="33"/>
  <c r="Y32" i="34"/>
  <c r="T32" i="34"/>
  <c r="AA32" i="34" s="1"/>
  <c r="Y32" i="41"/>
  <c r="T32" i="41"/>
  <c r="AA32" i="41" s="1"/>
  <c r="T8" i="41"/>
  <c r="AA8" i="41" s="1"/>
  <c r="Y8" i="41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AA7" i="38"/>
  <c r="Z36" i="30"/>
  <c r="Z36" i="31"/>
  <c r="Z36" i="32"/>
  <c r="Z36" i="34"/>
  <c r="Z36" i="39"/>
  <c r="Z36" i="40"/>
  <c r="Z36" i="41"/>
  <c r="Z36" i="42"/>
  <c r="Z36" i="43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10" i="30"/>
  <c r="AA10" i="30" s="1"/>
  <c r="Y10" i="30"/>
  <c r="T7" i="30"/>
  <c r="R36" i="30"/>
  <c r="Y7" i="30"/>
  <c r="T33" i="31"/>
  <c r="AA33" i="31" s="1"/>
  <c r="Y33" i="31"/>
  <c r="R36" i="31"/>
  <c r="Y7" i="31"/>
  <c r="T7" i="31"/>
  <c r="Y29" i="32"/>
  <c r="T29" i="32"/>
  <c r="AA29" i="32" s="1"/>
  <c r="Y11" i="32"/>
  <c r="T11" i="32"/>
  <c r="R36" i="32"/>
  <c r="Y27" i="33"/>
  <c r="T27" i="33"/>
  <c r="AA27" i="33" s="1"/>
  <c r="T29" i="34"/>
  <c r="AA29" i="34" s="1"/>
  <c r="Y29" i="34"/>
  <c r="Y10" i="34"/>
  <c r="T10" i="34"/>
  <c r="AA10" i="34" s="1"/>
  <c r="Y7" i="34"/>
  <c r="T7" i="34"/>
  <c r="R36" i="34"/>
  <c r="T27" i="35"/>
  <c r="AA27" i="35" s="1"/>
  <c r="Y27" i="35"/>
  <c r="Y23" i="35"/>
  <c r="T23" i="35"/>
  <c r="T15" i="36"/>
  <c r="AA15" i="36" s="1"/>
  <c r="Y15" i="36"/>
  <c r="Y9" i="36"/>
  <c r="T9" i="36"/>
  <c r="AA9" i="36" s="1"/>
  <c r="R36" i="36"/>
  <c r="T31" i="37"/>
  <c r="AA31" i="37" s="1"/>
  <c r="Y31" i="37"/>
  <c r="Y30" i="37"/>
  <c r="T30" i="37"/>
  <c r="AA30" i="37" s="1"/>
  <c r="T27" i="37"/>
  <c r="AA27" i="37" s="1"/>
  <c r="Y27" i="37"/>
  <c r="Y25" i="37"/>
  <c r="T25" i="37"/>
  <c r="AA25" i="37" s="1"/>
  <c r="Y24" i="37"/>
  <c r="T24" i="37"/>
  <c r="AA24" i="37" s="1"/>
  <c r="T15" i="39"/>
  <c r="AA15" i="39" s="1"/>
  <c r="Y15" i="39"/>
  <c r="Y11" i="39"/>
  <c r="T11" i="39"/>
  <c r="R36" i="39"/>
  <c r="T30" i="40"/>
  <c r="AA30" i="40" s="1"/>
  <c r="Y30" i="40"/>
  <c r="T27" i="40"/>
  <c r="AA27" i="40" s="1"/>
  <c r="Y27" i="40"/>
  <c r="T25" i="40"/>
  <c r="AA25" i="40" s="1"/>
  <c r="Y25" i="40"/>
  <c r="Y21" i="40"/>
  <c r="T21" i="40"/>
  <c r="AA21" i="40" s="1"/>
  <c r="T10" i="40"/>
  <c r="AA10" i="40" s="1"/>
  <c r="Y10" i="40"/>
  <c r="T7" i="40"/>
  <c r="AA7" i="40" s="1"/>
  <c r="R36" i="40"/>
  <c r="Y7" i="40"/>
  <c r="T5" i="41"/>
  <c r="AA5" i="41" s="1"/>
  <c r="Y5" i="41"/>
  <c r="Y4" i="41"/>
  <c r="R36" i="41"/>
  <c r="T4" i="41"/>
  <c r="Y19" i="42"/>
  <c r="T19" i="42"/>
  <c r="AA19" i="42" s="1"/>
  <c r="Y7" i="42"/>
  <c r="T7" i="42"/>
  <c r="AA7" i="42" s="1"/>
  <c r="Y13" i="43"/>
  <c r="T13" i="43"/>
  <c r="AA13" i="43" s="1"/>
  <c r="Y7" i="43"/>
  <c r="T7" i="43"/>
  <c r="R36" i="43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AA4" i="47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AA3" i="37"/>
  <c r="AA11" i="52"/>
  <c r="AA4" i="36"/>
  <c r="Z36" i="61"/>
  <c r="Z36" i="35"/>
  <c r="Z36" i="37"/>
  <c r="Z36" i="38"/>
  <c r="Z36" i="45"/>
  <c r="Z36" i="57"/>
  <c r="Z36" i="59"/>
  <c r="Z36" i="46"/>
  <c r="Z36" i="47"/>
  <c r="Z36" i="48"/>
  <c r="Z36" i="50"/>
  <c r="Z36" i="53"/>
  <c r="G59" i="27"/>
  <c r="G61" i="27"/>
  <c r="E63" i="25"/>
  <c r="F62" i="26"/>
  <c r="E65" i="27"/>
  <c r="AN15" i="24"/>
  <c r="AN13" i="24"/>
  <c r="AN11" i="24"/>
  <c r="AN16" i="24"/>
  <c r="AN17" i="24"/>
  <c r="AN14" i="24"/>
  <c r="AN12" i="24"/>
  <c r="AN37" i="24"/>
  <c r="AN34" i="24"/>
  <c r="AN36" i="24"/>
  <c r="AN35" i="24"/>
  <c r="AN33" i="24"/>
  <c r="AN38" i="24"/>
  <c r="AN32" i="24"/>
  <c r="F56" i="26"/>
  <c r="F82" i="26"/>
  <c r="G76" i="27"/>
  <c r="G84" i="27"/>
  <c r="F58" i="26"/>
  <c r="AN36" i="63"/>
  <c r="AN37" i="63" s="1"/>
  <c r="AA3" i="63"/>
  <c r="AA36" i="63" s="1"/>
  <c r="B36" i="24"/>
  <c r="AK36" i="24" s="1"/>
  <c r="T30" i="45"/>
  <c r="Y30" i="45"/>
  <c r="R36" i="45"/>
  <c r="AN27" i="24"/>
  <c r="AM48" i="24"/>
  <c r="AN26" i="24"/>
  <c r="AN31" i="24"/>
  <c r="AN30" i="24"/>
  <c r="AN28" i="24"/>
  <c r="AN29" i="24"/>
  <c r="AN25" i="24"/>
  <c r="T18" i="44"/>
  <c r="R36" i="44"/>
  <c r="Y18" i="44"/>
  <c r="T18" i="42"/>
  <c r="Y18" i="42"/>
  <c r="R36" i="42"/>
  <c r="AN24" i="24"/>
  <c r="AN23" i="24"/>
  <c r="AN21" i="24"/>
  <c r="AM44" i="24"/>
  <c r="AN18" i="24"/>
  <c r="AN20" i="24"/>
  <c r="AN19" i="24"/>
  <c r="AN22" i="24"/>
  <c r="AM42" i="24"/>
  <c r="B26" i="24"/>
  <c r="AK26" i="24" s="1"/>
  <c r="F78" i="25"/>
  <c r="F42" i="24" l="1"/>
  <c r="G83" i="25"/>
  <c r="AG45" i="23"/>
  <c r="G45" i="23"/>
  <c r="Y45" i="23"/>
  <c r="Y46" i="23" s="1"/>
  <c r="Y47" i="23" s="1"/>
  <c r="E75" i="25"/>
  <c r="AL22" i="24"/>
  <c r="J42" i="24"/>
  <c r="Z42" i="24"/>
  <c r="AD42" i="24"/>
  <c r="AF42" i="24"/>
  <c r="AL21" i="24"/>
  <c r="AP21" i="24" s="1"/>
  <c r="E79" i="27"/>
  <c r="B42" i="24"/>
  <c r="AL24" i="24"/>
  <c r="AP24" i="24" s="1"/>
  <c r="E71" i="25"/>
  <c r="AL20" i="24"/>
  <c r="AL19" i="24"/>
  <c r="AL13" i="23"/>
  <c r="AP13" i="23" s="1"/>
  <c r="AL17" i="23"/>
  <c r="AP17" i="23" s="1"/>
  <c r="AL14" i="23"/>
  <c r="AP14" i="23" s="1"/>
  <c r="AL15" i="23"/>
  <c r="AP15" i="23" s="1"/>
  <c r="AL11" i="23"/>
  <c r="AK44" i="23"/>
  <c r="I45" i="23" s="1"/>
  <c r="I46" i="23" s="1"/>
  <c r="I47" i="23" s="1"/>
  <c r="AK42" i="23"/>
  <c r="AL16" i="23"/>
  <c r="AP16" i="23" s="1"/>
  <c r="AL12" i="23"/>
  <c r="AP12" i="23" s="1"/>
  <c r="G42" i="24"/>
  <c r="O45" i="23"/>
  <c r="G62" i="25"/>
  <c r="E61" i="25"/>
  <c r="B44" i="24"/>
  <c r="D75" i="25"/>
  <c r="AU23" i="28" s="1"/>
  <c r="E78" i="25"/>
  <c r="AG48" i="24"/>
  <c r="G86" i="26" s="1"/>
  <c r="F86" i="26" s="1"/>
  <c r="AG42" i="24"/>
  <c r="D68" i="27"/>
  <c r="D68" i="25" s="1"/>
  <c r="AU16" i="28" s="1"/>
  <c r="D64" i="25"/>
  <c r="AU12" i="28" s="1"/>
  <c r="Y36" i="63"/>
  <c r="AL19" i="23"/>
  <c r="AP19" i="23" s="1"/>
  <c r="AL22" i="23"/>
  <c r="AP22" i="23" s="1"/>
  <c r="AL18" i="23"/>
  <c r="AP18" i="23" s="1"/>
  <c r="AL23" i="23"/>
  <c r="AP23" i="23" s="1"/>
  <c r="AL21" i="23"/>
  <c r="AP21" i="23" s="1"/>
  <c r="AL24" i="23"/>
  <c r="AP24" i="23" s="1"/>
  <c r="AL20" i="23"/>
  <c r="AP20" i="23" s="1"/>
  <c r="AB42" i="24"/>
  <c r="H42" i="24"/>
  <c r="G58" i="25"/>
  <c r="D95" i="27"/>
  <c r="D97" i="27" s="1"/>
  <c r="C96" i="25"/>
  <c r="C98" i="25" s="1"/>
  <c r="AA42" i="24"/>
  <c r="AA44" i="24"/>
  <c r="G80" i="27" s="1"/>
  <c r="F80" i="27" s="1"/>
  <c r="AE45" i="23"/>
  <c r="AE46" i="23" s="1"/>
  <c r="AE47" i="23" s="1"/>
  <c r="E56" i="25"/>
  <c r="U44" i="24"/>
  <c r="G74" i="27" s="1"/>
  <c r="F74" i="27" s="1"/>
  <c r="U42" i="24"/>
  <c r="D84" i="25"/>
  <c r="AU32" i="28" s="1"/>
  <c r="K42" i="24"/>
  <c r="K44" i="24"/>
  <c r="G64" i="27" s="1"/>
  <c r="X42" i="24"/>
  <c r="X44" i="24"/>
  <c r="G77" i="27" s="1"/>
  <c r="L44" i="24"/>
  <c r="G65" i="27" s="1"/>
  <c r="F65" i="27" s="1"/>
  <c r="L42" i="24"/>
  <c r="M44" i="24"/>
  <c r="G66" i="27" s="1"/>
  <c r="F66" i="27" s="1"/>
  <c r="M42" i="24"/>
  <c r="D42" i="24"/>
  <c r="D44" i="24"/>
  <c r="G57" i="27" s="1"/>
  <c r="F57" i="27" s="1"/>
  <c r="AC44" i="24"/>
  <c r="G82" i="27" s="1"/>
  <c r="AC42" i="24"/>
  <c r="D96" i="25"/>
  <c r="D98" i="25" s="1"/>
  <c r="D45" i="23"/>
  <c r="D46" i="23" s="1"/>
  <c r="D47" i="23" s="1"/>
  <c r="X45" i="23"/>
  <c r="X46" i="23" s="1"/>
  <c r="X47" i="23" s="1"/>
  <c r="E84" i="25"/>
  <c r="G67" i="25"/>
  <c r="D77" i="25"/>
  <c r="AU25" i="28" s="1"/>
  <c r="E83" i="25"/>
  <c r="Y36" i="42"/>
  <c r="Y36" i="36"/>
  <c r="Y36" i="31"/>
  <c r="Y36" i="38"/>
  <c r="E64" i="25"/>
  <c r="E86" i="25"/>
  <c r="Y36" i="62"/>
  <c r="AL40" i="23"/>
  <c r="AP40" i="23" s="1"/>
  <c r="AL39" i="23"/>
  <c r="AP39" i="23" s="1"/>
  <c r="AJ45" i="23"/>
  <c r="AJ46" i="23" s="1"/>
  <c r="AJ47" i="23" s="1"/>
  <c r="E89" i="27"/>
  <c r="E90" i="27" s="1"/>
  <c r="AG46" i="23"/>
  <c r="AG47" i="23" s="1"/>
  <c r="Y36" i="49"/>
  <c r="Y36" i="56"/>
  <c r="T36" i="47"/>
  <c r="Y36" i="33"/>
  <c r="Y36" i="61"/>
  <c r="Y36" i="64"/>
  <c r="D87" i="25"/>
  <c r="AU35" i="28" s="1"/>
  <c r="F88" i="27"/>
  <c r="G88" i="25"/>
  <c r="G46" i="23"/>
  <c r="G47" i="23" s="1"/>
  <c r="O46" i="23"/>
  <c r="O47" i="23" s="1"/>
  <c r="G89" i="26"/>
  <c r="F89" i="26" s="1"/>
  <c r="V37" i="29"/>
  <c r="Y36" i="58"/>
  <c r="I53" i="25"/>
  <c r="AL41" i="23"/>
  <c r="AP41" i="23" s="1"/>
  <c r="E87" i="25"/>
  <c r="F87" i="26"/>
  <c r="G87" i="25"/>
  <c r="AL41" i="24"/>
  <c r="AP41" i="24" s="1"/>
  <c r="AL39" i="24"/>
  <c r="AL40" i="24"/>
  <c r="AP40" i="24" s="1"/>
  <c r="AJ44" i="24"/>
  <c r="AJ42" i="24"/>
  <c r="E89" i="26"/>
  <c r="Y36" i="52"/>
  <c r="Y36" i="59"/>
  <c r="D86" i="25"/>
  <c r="AU34" i="28" s="1"/>
  <c r="E77" i="25"/>
  <c r="AA36" i="36"/>
  <c r="Y36" i="55"/>
  <c r="Y36" i="41"/>
  <c r="T36" i="38"/>
  <c r="Y36" i="47"/>
  <c r="AA27" i="62"/>
  <c r="AA36" i="62" s="1"/>
  <c r="T36" i="62"/>
  <c r="Y36" i="44"/>
  <c r="Y36" i="45"/>
  <c r="AA36" i="52"/>
  <c r="AA36" i="33"/>
  <c r="T36" i="58"/>
  <c r="T36" i="40"/>
  <c r="Y36" i="40"/>
  <c r="Y36" i="39"/>
  <c r="Y36" i="37"/>
  <c r="Y36" i="34"/>
  <c r="T36" i="59"/>
  <c r="Y36" i="50"/>
  <c r="Y36" i="48"/>
  <c r="F81" i="26"/>
  <c r="F81" i="25" s="1"/>
  <c r="G81" i="25"/>
  <c r="F57" i="26"/>
  <c r="E66" i="25"/>
  <c r="D66" i="26"/>
  <c r="D66" i="25" s="1"/>
  <c r="AU14" i="28" s="1"/>
  <c r="D81" i="26"/>
  <c r="D81" i="25" s="1"/>
  <c r="AU29" i="28" s="1"/>
  <c r="E81" i="25"/>
  <c r="D76" i="26"/>
  <c r="D76" i="25" s="1"/>
  <c r="AU24" i="28" s="1"/>
  <c r="E76" i="25"/>
  <c r="E57" i="25"/>
  <c r="D57" i="26"/>
  <c r="D57" i="25" s="1"/>
  <c r="AU5" i="28" s="1"/>
  <c r="AK45" i="22"/>
  <c r="B46" i="22"/>
  <c r="F80" i="26"/>
  <c r="F74" i="26"/>
  <c r="G74" i="25"/>
  <c r="X47" i="22"/>
  <c r="X55" i="22"/>
  <c r="X56" i="22" s="1"/>
  <c r="E72" i="26"/>
  <c r="F60" i="26"/>
  <c r="G60" i="25"/>
  <c r="F65" i="26"/>
  <c r="G65" i="25"/>
  <c r="E59" i="26"/>
  <c r="E85" i="26"/>
  <c r="E79" i="26"/>
  <c r="D79" i="26" s="1"/>
  <c r="AL27" i="23"/>
  <c r="AP27" i="23" s="1"/>
  <c r="AK49" i="23"/>
  <c r="T50" i="23" s="1"/>
  <c r="AL25" i="23"/>
  <c r="AL28" i="23"/>
  <c r="AP28" i="23" s="1"/>
  <c r="AL29" i="23"/>
  <c r="AP29" i="23" s="1"/>
  <c r="AL30" i="23"/>
  <c r="AP30" i="23" s="1"/>
  <c r="AL26" i="23"/>
  <c r="AP26" i="23" s="1"/>
  <c r="AL31" i="23"/>
  <c r="AP31" i="23" s="1"/>
  <c r="G73" i="26"/>
  <c r="AL33" i="24"/>
  <c r="AP33" i="24" s="1"/>
  <c r="AL35" i="24"/>
  <c r="AP35" i="24" s="1"/>
  <c r="AL37" i="24"/>
  <c r="AP37" i="24" s="1"/>
  <c r="AL36" i="24"/>
  <c r="AP36" i="24" s="1"/>
  <c r="AL34" i="24"/>
  <c r="AP34" i="24" s="1"/>
  <c r="AL38" i="24"/>
  <c r="AL32" i="24"/>
  <c r="AP32" i="24" s="1"/>
  <c r="AK25" i="24"/>
  <c r="B48" i="24"/>
  <c r="G72" i="26"/>
  <c r="E73" i="26"/>
  <c r="L47" i="22"/>
  <c r="L55" i="22"/>
  <c r="L56" i="22" s="1"/>
  <c r="U47" i="22"/>
  <c r="U55" i="22"/>
  <c r="U56" i="22" s="1"/>
  <c r="F85" i="26"/>
  <c r="G85" i="25"/>
  <c r="E80" i="25"/>
  <c r="D80" i="26"/>
  <c r="D80" i="25" s="1"/>
  <c r="AU28" i="28" s="1"/>
  <c r="E74" i="26"/>
  <c r="B53" i="22"/>
  <c r="D60" i="26"/>
  <c r="D60" i="25" s="1"/>
  <c r="AU8" i="28" s="1"/>
  <c r="E60" i="25"/>
  <c r="D62" i="26"/>
  <c r="D62" i="25" s="1"/>
  <c r="AU10" i="28" s="1"/>
  <c r="E62" i="25"/>
  <c r="P47" i="22"/>
  <c r="P55" i="22"/>
  <c r="P56" i="22" s="1"/>
  <c r="F70" i="26"/>
  <c r="G70" i="25"/>
  <c r="AL38" i="23"/>
  <c r="AP38" i="23" s="1"/>
  <c r="AL35" i="23"/>
  <c r="AP35" i="23" s="1"/>
  <c r="AL33" i="23"/>
  <c r="AP33" i="23" s="1"/>
  <c r="AL36" i="23"/>
  <c r="AP36" i="23" s="1"/>
  <c r="AL34" i="23"/>
  <c r="AP34" i="23" s="1"/>
  <c r="AL32" i="23"/>
  <c r="AP32" i="23" s="1"/>
  <c r="AL37" i="23"/>
  <c r="AP37" i="23" s="1"/>
  <c r="E55" i="26"/>
  <c r="E70" i="25"/>
  <c r="G55" i="27"/>
  <c r="AP39" i="24"/>
  <c r="D89" i="26"/>
  <c r="F63" i="27"/>
  <c r="G63" i="25"/>
  <c r="D69" i="26"/>
  <c r="D69" i="25" s="1"/>
  <c r="AU17" i="28" s="1"/>
  <c r="E69" i="25"/>
  <c r="AQ44" i="23"/>
  <c r="G56" i="27"/>
  <c r="G68" i="27"/>
  <c r="AQ49" i="23"/>
  <c r="AL17" i="24"/>
  <c r="AP17" i="24" s="1"/>
  <c r="AL16" i="24"/>
  <c r="AP16" i="24" s="1"/>
  <c r="AL15" i="24"/>
  <c r="AP15" i="24" s="1"/>
  <c r="AL11" i="24"/>
  <c r="AP11" i="24" s="1"/>
  <c r="AL12" i="24"/>
  <c r="AP12" i="24" s="1"/>
  <c r="AK42" i="24"/>
  <c r="O45" i="24"/>
  <c r="O46" i="24" s="1"/>
  <c r="AL14" i="24"/>
  <c r="AL13" i="24"/>
  <c r="AP13" i="24" s="1"/>
  <c r="F64" i="27"/>
  <c r="G64" i="25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7" i="43"/>
  <c r="AA36" i="43" s="1"/>
  <c r="T36" i="43"/>
  <c r="AA4" i="41"/>
  <c r="AA36" i="41" s="1"/>
  <c r="T36" i="41"/>
  <c r="T36" i="35"/>
  <c r="AA23" i="35"/>
  <c r="AA36" i="35" s="1"/>
  <c r="AA11" i="32"/>
  <c r="AA36" i="32" s="1"/>
  <c r="T36" i="32"/>
  <c r="AA7" i="31"/>
  <c r="AA36" i="31" s="1"/>
  <c r="T36" i="31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AA11" i="39"/>
  <c r="AA36" i="39" s="1"/>
  <c r="T36" i="39"/>
  <c r="AA7" i="34"/>
  <c r="AA36" i="34" s="1"/>
  <c r="T36" i="34"/>
  <c r="T36" i="30"/>
  <c r="AA7" i="30"/>
  <c r="AA36" i="30" s="1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AA36" i="37"/>
  <c r="Y36" i="53"/>
  <c r="T36" i="36"/>
  <c r="AA36" i="40"/>
  <c r="T36" i="52"/>
  <c r="T36" i="37"/>
  <c r="Y36" i="54"/>
  <c r="Y36" i="51"/>
  <c r="AA36" i="47"/>
  <c r="Y36" i="46"/>
  <c r="Y36" i="43"/>
  <c r="Y36" i="32"/>
  <c r="Y36" i="30"/>
  <c r="AA36" i="59"/>
  <c r="AA36" i="56"/>
  <c r="Y36" i="60"/>
  <c r="AA36" i="38"/>
  <c r="T36" i="33"/>
  <c r="AA36" i="58"/>
  <c r="Y36" i="57"/>
  <c r="Y36" i="35"/>
  <c r="F61" i="27"/>
  <c r="G61" i="25"/>
  <c r="G59" i="25"/>
  <c r="F59" i="27"/>
  <c r="F62" i="25"/>
  <c r="D65" i="27"/>
  <c r="D65" i="25" s="1"/>
  <c r="AU13" i="28" s="1"/>
  <c r="E65" i="25"/>
  <c r="D79" i="27"/>
  <c r="G79" i="25"/>
  <c r="F79" i="27"/>
  <c r="F58" i="25"/>
  <c r="G84" i="25"/>
  <c r="F84" i="27"/>
  <c r="F76" i="27"/>
  <c r="G76" i="25"/>
  <c r="F83" i="25"/>
  <c r="AQ38" i="24"/>
  <c r="AP38" i="24"/>
  <c r="AQ35" i="24"/>
  <c r="AQ34" i="24"/>
  <c r="AQ12" i="24"/>
  <c r="AQ17" i="24"/>
  <c r="AQ11" i="24"/>
  <c r="AQ15" i="24"/>
  <c r="F86" i="27"/>
  <c r="F86" i="25" s="1"/>
  <c r="AQ32" i="24"/>
  <c r="AQ33" i="24"/>
  <c r="AQ36" i="24"/>
  <c r="AQ37" i="24"/>
  <c r="AP14" i="24"/>
  <c r="AQ14" i="24"/>
  <c r="AQ16" i="24"/>
  <c r="AQ13" i="24"/>
  <c r="AP19" i="24"/>
  <c r="AQ19" i="24"/>
  <c r="AP18" i="24"/>
  <c r="AN44" i="24"/>
  <c r="AQ18" i="24"/>
  <c r="AN42" i="24"/>
  <c r="AQ21" i="24"/>
  <c r="AQ24" i="24"/>
  <c r="T36" i="44"/>
  <c r="AA18" i="44"/>
  <c r="AA36" i="44" s="1"/>
  <c r="AQ29" i="24"/>
  <c r="AQ30" i="24"/>
  <c r="AQ26" i="24"/>
  <c r="AQ27" i="24"/>
  <c r="F71" i="27"/>
  <c r="G71" i="25"/>
  <c r="AQ22" i="24"/>
  <c r="AP22" i="24"/>
  <c r="AP20" i="24"/>
  <c r="AQ20" i="24"/>
  <c r="AP23" i="24"/>
  <c r="AQ23" i="24"/>
  <c r="AA18" i="42"/>
  <c r="AA36" i="42" s="1"/>
  <c r="T36" i="42"/>
  <c r="AQ25" i="24"/>
  <c r="AN48" i="24"/>
  <c r="AQ28" i="24"/>
  <c r="AQ31" i="24"/>
  <c r="AA30" i="45"/>
  <c r="AA36" i="45" s="1"/>
  <c r="T36" i="45"/>
  <c r="G86" i="25" l="1"/>
  <c r="T45" i="23"/>
  <c r="T46" i="23" s="1"/>
  <c r="T47" i="23" s="1"/>
  <c r="AD45" i="23"/>
  <c r="AD46" i="23" s="1"/>
  <c r="AD47" i="23" s="1"/>
  <c r="Z45" i="23"/>
  <c r="Z46" i="23" s="1"/>
  <c r="Z47" i="23" s="1"/>
  <c r="AL44" i="23"/>
  <c r="AP11" i="23"/>
  <c r="AL42" i="23"/>
  <c r="AP42" i="23" s="1"/>
  <c r="E79" i="25"/>
  <c r="N45" i="23"/>
  <c r="N46" i="23" s="1"/>
  <c r="N47" i="23" s="1"/>
  <c r="Q45" i="23"/>
  <c r="Q46" i="23" s="1"/>
  <c r="Q47" i="23" s="1"/>
  <c r="W45" i="23"/>
  <c r="W46" i="23" s="1"/>
  <c r="W47" i="23" s="1"/>
  <c r="AA45" i="23"/>
  <c r="AA46" i="23" s="1"/>
  <c r="AA47" i="23" s="1"/>
  <c r="S45" i="23"/>
  <c r="S46" i="23" s="1"/>
  <c r="S47" i="23" s="1"/>
  <c r="AF45" i="23"/>
  <c r="AF46" i="23" s="1"/>
  <c r="AF47" i="23" s="1"/>
  <c r="F45" i="23"/>
  <c r="F46" i="23" s="1"/>
  <c r="F47" i="23" s="1"/>
  <c r="M45" i="23"/>
  <c r="M46" i="23" s="1"/>
  <c r="M47" i="23" s="1"/>
  <c r="C45" i="23"/>
  <c r="C46" i="23" s="1"/>
  <c r="C47" i="23" s="1"/>
  <c r="B45" i="23"/>
  <c r="AH45" i="23"/>
  <c r="AH46" i="23" s="1"/>
  <c r="AH47" i="23" s="1"/>
  <c r="P45" i="23"/>
  <c r="P46" i="23" s="1"/>
  <c r="P47" i="23" s="1"/>
  <c r="AC45" i="23"/>
  <c r="AC46" i="23" s="1"/>
  <c r="AC47" i="23" s="1"/>
  <c r="H45" i="23"/>
  <c r="H46" i="23" s="1"/>
  <c r="H47" i="23" s="1"/>
  <c r="AI45" i="23"/>
  <c r="AI46" i="23" s="1"/>
  <c r="AI47" i="23" s="1"/>
  <c r="L45" i="23"/>
  <c r="L46" i="23" s="1"/>
  <c r="L47" i="23" s="1"/>
  <c r="AP44" i="23"/>
  <c r="U45" i="23"/>
  <c r="U46" i="23" s="1"/>
  <c r="U47" i="23" s="1"/>
  <c r="V45" i="23"/>
  <c r="V46" i="23" s="1"/>
  <c r="V47" i="23" s="1"/>
  <c r="AB45" i="23"/>
  <c r="AB46" i="23" s="1"/>
  <c r="AB47" i="23" s="1"/>
  <c r="J45" i="23"/>
  <c r="J46" i="23" s="1"/>
  <c r="J47" i="23" s="1"/>
  <c r="E45" i="23"/>
  <c r="E46" i="23" s="1"/>
  <c r="E47" i="23" s="1"/>
  <c r="K45" i="23"/>
  <c r="K46" i="23" s="1"/>
  <c r="K47" i="23" s="1"/>
  <c r="R45" i="23"/>
  <c r="R46" i="23" s="1"/>
  <c r="R47" i="23" s="1"/>
  <c r="G80" i="25"/>
  <c r="G66" i="25"/>
  <c r="F82" i="27"/>
  <c r="F82" i="25" s="1"/>
  <c r="G82" i="25"/>
  <c r="F77" i="27"/>
  <c r="F77" i="25" s="1"/>
  <c r="G77" i="25"/>
  <c r="F57" i="25"/>
  <c r="G57" i="25"/>
  <c r="D79" i="25"/>
  <c r="AU27" i="28" s="1"/>
  <c r="AG50" i="23"/>
  <c r="AG51" i="23" s="1"/>
  <c r="AG52" i="23" s="1"/>
  <c r="AJ45" i="24"/>
  <c r="AJ46" i="24" s="1"/>
  <c r="G89" i="27"/>
  <c r="E89" i="25"/>
  <c r="D89" i="27"/>
  <c r="D89" i="25" s="1"/>
  <c r="AU37" i="28" s="1"/>
  <c r="AJ50" i="23"/>
  <c r="T51" i="23"/>
  <c r="T52" i="23" s="1"/>
  <c r="F87" i="25"/>
  <c r="F88" i="25"/>
  <c r="Q50" i="23"/>
  <c r="F70" i="25"/>
  <c r="AL26" i="24"/>
  <c r="AP26" i="24" s="1"/>
  <c r="AK48" i="24"/>
  <c r="AJ49" i="24" s="1"/>
  <c r="AJ50" i="24" s="1"/>
  <c r="AL27" i="24"/>
  <c r="AP27" i="24" s="1"/>
  <c r="AL30" i="24"/>
  <c r="AP30" i="24" s="1"/>
  <c r="AL31" i="24"/>
  <c r="AP31" i="24" s="1"/>
  <c r="AL29" i="24"/>
  <c r="AP29" i="24" s="1"/>
  <c r="AL28" i="24"/>
  <c r="AP28" i="24" s="1"/>
  <c r="AL25" i="24"/>
  <c r="F73" i="26"/>
  <c r="G73" i="25"/>
  <c r="D88" i="26"/>
  <c r="D88" i="25" s="1"/>
  <c r="AU36" i="28" s="1"/>
  <c r="D85" i="26"/>
  <c r="D85" i="25" s="1"/>
  <c r="AU33" i="28" s="1"/>
  <c r="E85" i="25"/>
  <c r="E72" i="25"/>
  <c r="D72" i="26"/>
  <c r="D72" i="25" s="1"/>
  <c r="AU20" i="28" s="1"/>
  <c r="G55" i="26"/>
  <c r="G55" i="25" s="1"/>
  <c r="D50" i="23"/>
  <c r="AB50" i="23"/>
  <c r="W50" i="23"/>
  <c r="M50" i="23"/>
  <c r="H50" i="23"/>
  <c r="J50" i="23"/>
  <c r="AD50" i="23"/>
  <c r="AC50" i="23"/>
  <c r="AP49" i="23"/>
  <c r="N50" i="23"/>
  <c r="R50" i="23"/>
  <c r="C50" i="23"/>
  <c r="I50" i="23"/>
  <c r="O50" i="23"/>
  <c r="L50" i="23"/>
  <c r="G50" i="23"/>
  <c r="X50" i="23"/>
  <c r="AE50" i="23"/>
  <c r="Y50" i="23"/>
  <c r="V50" i="23"/>
  <c r="K50" i="23"/>
  <c r="P50" i="23"/>
  <c r="AA50" i="23"/>
  <c r="E50" i="23"/>
  <c r="AK46" i="22"/>
  <c r="AK47" i="22" s="1"/>
  <c r="B47" i="22"/>
  <c r="D74" i="26"/>
  <c r="D74" i="25" s="1"/>
  <c r="AU22" i="28" s="1"/>
  <c r="E74" i="25"/>
  <c r="F85" i="25"/>
  <c r="AL49" i="23"/>
  <c r="AP25" i="23"/>
  <c r="D59" i="26"/>
  <c r="D59" i="25" s="1"/>
  <c r="AU7" i="28" s="1"/>
  <c r="E59" i="25"/>
  <c r="F60" i="25"/>
  <c r="F80" i="25"/>
  <c r="AF50" i="23"/>
  <c r="S50" i="23"/>
  <c r="B50" i="23"/>
  <c r="AH50" i="23"/>
  <c r="D73" i="26"/>
  <c r="D73" i="25" s="1"/>
  <c r="AU21" i="28" s="1"/>
  <c r="E73" i="25"/>
  <c r="F65" i="25"/>
  <c r="F74" i="25"/>
  <c r="D55" i="26"/>
  <c r="E55" i="25"/>
  <c r="E90" i="26"/>
  <c r="F72" i="26"/>
  <c r="G72" i="25"/>
  <c r="AI50" i="23"/>
  <c r="U50" i="23"/>
  <c r="Z50" i="23"/>
  <c r="F50" i="23"/>
  <c r="B45" i="24"/>
  <c r="G90" i="27"/>
  <c r="F55" i="27"/>
  <c r="F56" i="27"/>
  <c r="G56" i="25"/>
  <c r="S45" i="24"/>
  <c r="S46" i="24" s="1"/>
  <c r="AA45" i="24"/>
  <c r="AA46" i="24" s="1"/>
  <c r="AC45" i="24"/>
  <c r="AC46" i="24" s="1"/>
  <c r="G45" i="24"/>
  <c r="G46" i="24" s="1"/>
  <c r="T45" i="24"/>
  <c r="T46" i="24" s="1"/>
  <c r="U45" i="24"/>
  <c r="U46" i="24" s="1"/>
  <c r="E45" i="24"/>
  <c r="E46" i="24" s="1"/>
  <c r="I45" i="24"/>
  <c r="I46" i="24" s="1"/>
  <c r="AD45" i="24"/>
  <c r="AD46" i="24" s="1"/>
  <c r="P45" i="24"/>
  <c r="P46" i="24" s="1"/>
  <c r="X45" i="24"/>
  <c r="X46" i="24" s="1"/>
  <c r="Q45" i="24"/>
  <c r="Q46" i="24" s="1"/>
  <c r="AH45" i="24"/>
  <c r="AH46" i="24" s="1"/>
  <c r="V45" i="24"/>
  <c r="V46" i="24" s="1"/>
  <c r="L45" i="24"/>
  <c r="L46" i="24" s="1"/>
  <c r="AF45" i="24"/>
  <c r="AF46" i="24" s="1"/>
  <c r="N45" i="24"/>
  <c r="N46" i="24" s="1"/>
  <c r="Y45" i="24"/>
  <c r="Y46" i="24" s="1"/>
  <c r="AB45" i="24"/>
  <c r="AB46" i="24" s="1"/>
  <c r="J45" i="24"/>
  <c r="J46" i="24" s="1"/>
  <c r="AE45" i="24"/>
  <c r="AE46" i="24" s="1"/>
  <c r="R45" i="24"/>
  <c r="R46" i="24" s="1"/>
  <c r="F45" i="24"/>
  <c r="F46" i="24" s="1"/>
  <c r="H45" i="24"/>
  <c r="H46" i="24" s="1"/>
  <c r="AG45" i="24"/>
  <c r="AG46" i="24" s="1"/>
  <c r="Z45" i="24"/>
  <c r="Z46" i="24" s="1"/>
  <c r="K45" i="24"/>
  <c r="K46" i="24" s="1"/>
  <c r="M45" i="24"/>
  <c r="M46" i="24" s="1"/>
  <c r="W45" i="24"/>
  <c r="W46" i="24" s="1"/>
  <c r="D45" i="24"/>
  <c r="D46" i="24" s="1"/>
  <c r="F63" i="25"/>
  <c r="C45" i="24"/>
  <c r="C46" i="24" s="1"/>
  <c r="AI45" i="24"/>
  <c r="AI46" i="24" s="1"/>
  <c r="F64" i="25"/>
  <c r="AL44" i="24"/>
  <c r="AP44" i="24" s="1"/>
  <c r="F68" i="27"/>
  <c r="G68" i="25"/>
  <c r="E53" i="25"/>
  <c r="D53" i="27"/>
  <c r="D53" i="25" s="1"/>
  <c r="F61" i="25"/>
  <c r="F59" i="25"/>
  <c r="F79" i="25"/>
  <c r="F76" i="25"/>
  <c r="F66" i="25"/>
  <c r="F84" i="25"/>
  <c r="G53" i="26"/>
  <c r="F53" i="26" s="1"/>
  <c r="AQ48" i="24"/>
  <c r="F71" i="25"/>
  <c r="AQ42" i="24"/>
  <c r="G53" i="27"/>
  <c r="AQ44" i="24"/>
  <c r="AL42" i="24" l="1"/>
  <c r="AP42" i="24" s="1"/>
  <c r="E91" i="25"/>
  <c r="AK45" i="23"/>
  <c r="B46" i="23"/>
  <c r="B49" i="24"/>
  <c r="AK45" i="24"/>
  <c r="D90" i="27"/>
  <c r="F51" i="23"/>
  <c r="F52" i="23" s="1"/>
  <c r="AF51" i="23"/>
  <c r="AF52" i="23" s="1"/>
  <c r="E51" i="23"/>
  <c r="E52" i="23" s="1"/>
  <c r="V51" i="23"/>
  <c r="V52" i="23" s="1"/>
  <c r="G52" i="23"/>
  <c r="G51" i="23"/>
  <c r="M51" i="23"/>
  <c r="M52" i="23" s="1"/>
  <c r="AI51" i="23"/>
  <c r="AI52" i="23" s="1"/>
  <c r="S51" i="23"/>
  <c r="S52" i="23" s="1"/>
  <c r="K51" i="23"/>
  <c r="K52" i="23" s="1"/>
  <c r="X51" i="23"/>
  <c r="X52" i="23" s="1"/>
  <c r="I51" i="23"/>
  <c r="I52" i="23" s="1"/>
  <c r="H51" i="23"/>
  <c r="H52" i="23" s="1"/>
  <c r="D51" i="23"/>
  <c r="D52" i="23" s="1"/>
  <c r="F89" i="27"/>
  <c r="G89" i="25"/>
  <c r="G91" i="25" s="1"/>
  <c r="AC51" i="23"/>
  <c r="AC52" i="23" s="1"/>
  <c r="U51" i="23"/>
  <c r="U52" i="23" s="1"/>
  <c r="AK50" i="23"/>
  <c r="B51" i="23"/>
  <c r="P51" i="23"/>
  <c r="P52" i="23" s="1"/>
  <c r="AE51" i="23"/>
  <c r="AE52" i="23" s="1"/>
  <c r="O51" i="23"/>
  <c r="O52" i="23" s="1"/>
  <c r="N51" i="23"/>
  <c r="N52" i="23" s="1"/>
  <c r="J51" i="23"/>
  <c r="J52" i="23" s="1"/>
  <c r="AB51" i="23"/>
  <c r="AB52" i="23" s="1"/>
  <c r="Q51" i="23"/>
  <c r="Q52" i="23" s="1"/>
  <c r="C51" i="23"/>
  <c r="C52" i="23" s="1"/>
  <c r="Z51" i="23"/>
  <c r="Z52" i="23" s="1"/>
  <c r="AH51" i="23"/>
  <c r="AH52" i="23" s="1"/>
  <c r="AA51" i="23"/>
  <c r="AA52" i="23" s="1"/>
  <c r="Y51" i="23"/>
  <c r="Y52" i="23" s="1"/>
  <c r="L51" i="23"/>
  <c r="L52" i="23" s="1"/>
  <c r="R51" i="23"/>
  <c r="R52" i="23" s="1"/>
  <c r="AD51" i="23"/>
  <c r="AD52" i="23" s="1"/>
  <c r="W51" i="23"/>
  <c r="W52" i="23" s="1"/>
  <c r="AJ51" i="23"/>
  <c r="AJ52" i="23" s="1"/>
  <c r="AL48" i="24"/>
  <c r="AP48" i="24" s="1"/>
  <c r="AP25" i="24"/>
  <c r="F55" i="26"/>
  <c r="F55" i="25" s="1"/>
  <c r="G90" i="26"/>
  <c r="F73" i="25"/>
  <c r="D90" i="26"/>
  <c r="D55" i="25"/>
  <c r="F72" i="25"/>
  <c r="B50" i="24"/>
  <c r="AA49" i="24"/>
  <c r="AA50" i="24" s="1"/>
  <c r="P49" i="24"/>
  <c r="P50" i="24" s="1"/>
  <c r="N49" i="24"/>
  <c r="N50" i="24" s="1"/>
  <c r="E49" i="24"/>
  <c r="E50" i="24" s="1"/>
  <c r="K49" i="24"/>
  <c r="K50" i="24" s="1"/>
  <c r="I49" i="24"/>
  <c r="I50" i="24" s="1"/>
  <c r="D49" i="24"/>
  <c r="D50" i="24" s="1"/>
  <c r="C49" i="24"/>
  <c r="C50" i="24" s="1"/>
  <c r="H49" i="24"/>
  <c r="H50" i="24" s="1"/>
  <c r="V49" i="24"/>
  <c r="V50" i="24" s="1"/>
  <c r="L49" i="24"/>
  <c r="L50" i="24" s="1"/>
  <c r="W49" i="24"/>
  <c r="W50" i="24" s="1"/>
  <c r="R49" i="24"/>
  <c r="R50" i="24" s="1"/>
  <c r="J49" i="24"/>
  <c r="J50" i="24" s="1"/>
  <c r="Q49" i="24"/>
  <c r="Q50" i="24" s="1"/>
  <c r="AD49" i="24"/>
  <c r="AD50" i="24" s="1"/>
  <c r="Z49" i="24"/>
  <c r="Z50" i="24" s="1"/>
  <c r="Y49" i="24"/>
  <c r="Y50" i="24" s="1"/>
  <c r="O49" i="24"/>
  <c r="O50" i="24" s="1"/>
  <c r="X49" i="24"/>
  <c r="X50" i="24" s="1"/>
  <c r="AE49" i="24"/>
  <c r="AE50" i="24" s="1"/>
  <c r="AB49" i="24"/>
  <c r="AB50" i="24" s="1"/>
  <c r="AC49" i="24"/>
  <c r="AC50" i="24" s="1"/>
  <c r="G49" i="24"/>
  <c r="G50" i="24" s="1"/>
  <c r="F49" i="24"/>
  <c r="F50" i="24" s="1"/>
  <c r="M49" i="24"/>
  <c r="M50" i="24" s="1"/>
  <c r="T49" i="24"/>
  <c r="T50" i="24" s="1"/>
  <c r="AH49" i="24"/>
  <c r="AH50" i="24" s="1"/>
  <c r="AF49" i="24"/>
  <c r="AF50" i="24" s="1"/>
  <c r="AG49" i="24"/>
  <c r="AG50" i="24" s="1"/>
  <c r="S49" i="24"/>
  <c r="S50" i="24" s="1"/>
  <c r="U49" i="24"/>
  <c r="U50" i="24" s="1"/>
  <c r="AI49" i="24"/>
  <c r="AI50" i="24" s="1"/>
  <c r="B46" i="24"/>
  <c r="AK46" i="24" s="1"/>
  <c r="F56" i="25"/>
  <c r="F68" i="25"/>
  <c r="F90" i="27"/>
  <c r="D102" i="26"/>
  <c r="F102" i="26" s="1"/>
  <c r="F53" i="27"/>
  <c r="D102" i="27" s="1"/>
  <c r="G53" i="25"/>
  <c r="AK46" i="23" l="1"/>
  <c r="AK47" i="23" s="1"/>
  <c r="B47" i="23"/>
  <c r="AK50" i="24"/>
  <c r="AK51" i="23"/>
  <c r="AK52" i="23" s="1"/>
  <c r="AK49" i="24"/>
  <c r="H87" i="27"/>
  <c r="H88" i="27"/>
  <c r="H89" i="27"/>
  <c r="F89" i="25"/>
  <c r="F91" i="25" s="1"/>
  <c r="D91" i="25"/>
  <c r="AU3" i="28"/>
  <c r="B52" i="23"/>
  <c r="F90" i="26"/>
  <c r="H65" i="27"/>
  <c r="H83" i="27"/>
  <c r="H80" i="27"/>
  <c r="H58" i="27"/>
  <c r="H62" i="27"/>
  <c r="H82" i="27"/>
  <c r="H77" i="27"/>
  <c r="H85" i="27"/>
  <c r="H74" i="27"/>
  <c r="H69" i="27"/>
  <c r="H60" i="27"/>
  <c r="H67" i="27"/>
  <c r="H75" i="27"/>
  <c r="H81" i="27"/>
  <c r="H70" i="27"/>
  <c r="H72" i="27"/>
  <c r="H73" i="27"/>
  <c r="H78" i="27"/>
  <c r="H57" i="27"/>
  <c r="D103" i="27"/>
  <c r="F103" i="27" s="1"/>
  <c r="H61" i="27"/>
  <c r="H86" i="27"/>
  <c r="H63" i="27"/>
  <c r="H64" i="27"/>
  <c r="H66" i="27"/>
  <c r="H79" i="27"/>
  <c r="H76" i="27"/>
  <c r="H84" i="27"/>
  <c r="H71" i="27"/>
  <c r="H59" i="27"/>
  <c r="H56" i="27"/>
  <c r="H55" i="27"/>
  <c r="H68" i="27"/>
  <c r="D101" i="27"/>
  <c r="F101" i="27" s="1"/>
  <c r="F102" i="27"/>
  <c r="F53" i="25"/>
  <c r="H90" i="27" l="1"/>
  <c r="H55" i="26"/>
  <c r="H88" i="26"/>
  <c r="H86" i="26"/>
  <c r="H87" i="26"/>
  <c r="H89" i="26"/>
  <c r="H56" i="25"/>
  <c r="L56" i="25" s="1"/>
  <c r="K56" i="25" s="1"/>
  <c r="AO4" i="28" s="1"/>
  <c r="H88" i="25"/>
  <c r="L88" i="25" s="1"/>
  <c r="K88" i="25" s="1"/>
  <c r="AO36" i="28" s="1"/>
  <c r="F36" i="28" s="1"/>
  <c r="H89" i="25"/>
  <c r="L89" i="25" s="1"/>
  <c r="K89" i="25" s="1"/>
  <c r="AO37" i="28" s="1"/>
  <c r="F37" i="28" s="1"/>
  <c r="H75" i="26"/>
  <c r="H64" i="26"/>
  <c r="H76" i="26"/>
  <c r="H69" i="26"/>
  <c r="H71" i="26"/>
  <c r="H84" i="26"/>
  <c r="H66" i="26"/>
  <c r="H81" i="26"/>
  <c r="H77" i="26"/>
  <c r="H61" i="26"/>
  <c r="D103" i="26"/>
  <c r="F103" i="26" s="1"/>
  <c r="H67" i="26"/>
  <c r="H63" i="26"/>
  <c r="H78" i="26"/>
  <c r="H68" i="26"/>
  <c r="H79" i="26"/>
  <c r="H62" i="26"/>
  <c r="H59" i="26"/>
  <c r="H58" i="26"/>
  <c r="H57" i="26"/>
  <c r="H82" i="26"/>
  <c r="H83" i="26"/>
  <c r="H56" i="26"/>
  <c r="H70" i="26"/>
  <c r="H60" i="26"/>
  <c r="H74" i="26"/>
  <c r="H85" i="26"/>
  <c r="H80" i="26"/>
  <c r="H65" i="26"/>
  <c r="H72" i="26"/>
  <c r="D101" i="26"/>
  <c r="F101" i="26" s="1"/>
  <c r="H73" i="26"/>
  <c r="H68" i="25"/>
  <c r="L68" i="25" s="1"/>
  <c r="K68" i="25" s="1"/>
  <c r="AO16" i="28" s="1"/>
  <c r="H55" i="25"/>
  <c r="H87" i="25"/>
  <c r="L87" i="25" s="1"/>
  <c r="K87" i="25" s="1"/>
  <c r="AO35" i="28" s="1"/>
  <c r="F35" i="28" s="1"/>
  <c r="H60" i="25"/>
  <c r="L60" i="25" s="1"/>
  <c r="K60" i="25" s="1"/>
  <c r="AO8" i="28" s="1"/>
  <c r="H80" i="25"/>
  <c r="L80" i="25" s="1"/>
  <c r="K80" i="25" s="1"/>
  <c r="AO28" i="28" s="1"/>
  <c r="F28" i="28" s="1"/>
  <c r="H77" i="25"/>
  <c r="L77" i="25" s="1"/>
  <c r="K77" i="25" s="1"/>
  <c r="AO25" i="28" s="1"/>
  <c r="F25" i="28" s="1"/>
  <c r="H81" i="25"/>
  <c r="L81" i="25" s="1"/>
  <c r="K81" i="25" s="1"/>
  <c r="AO29" i="28" s="1"/>
  <c r="F29" i="28" s="1"/>
  <c r="H74" i="25"/>
  <c r="L74" i="25" s="1"/>
  <c r="K74" i="25" s="1"/>
  <c r="AO22" i="28" s="1"/>
  <c r="F22" i="28" s="1"/>
  <c r="H65" i="25"/>
  <c r="L65" i="25" s="1"/>
  <c r="K65" i="25" s="1"/>
  <c r="AO13" i="28" s="1"/>
  <c r="H85" i="25"/>
  <c r="L85" i="25" s="1"/>
  <c r="K85" i="25" s="1"/>
  <c r="AO33" i="28" s="1"/>
  <c r="F33" i="28" s="1"/>
  <c r="H75" i="25"/>
  <c r="L75" i="25" s="1"/>
  <c r="K75" i="25" s="1"/>
  <c r="AO23" i="28" s="1"/>
  <c r="F23" i="28" s="1"/>
  <c r="H69" i="25"/>
  <c r="L69" i="25" s="1"/>
  <c r="K69" i="25" s="1"/>
  <c r="AO17" i="28" s="1"/>
  <c r="H70" i="25"/>
  <c r="L70" i="25" s="1"/>
  <c r="K70" i="25" s="1"/>
  <c r="AO18" i="28" s="1"/>
  <c r="D104" i="25"/>
  <c r="F104" i="25" s="1"/>
  <c r="H72" i="25"/>
  <c r="L72" i="25" s="1"/>
  <c r="K72" i="25" s="1"/>
  <c r="AO20" i="28" s="1"/>
  <c r="H73" i="25"/>
  <c r="L73" i="25" s="1"/>
  <c r="K73" i="25" s="1"/>
  <c r="AO21" i="28" s="1"/>
  <c r="H67" i="25"/>
  <c r="L67" i="25" s="1"/>
  <c r="K67" i="25" s="1"/>
  <c r="AO15" i="28" s="1"/>
  <c r="H78" i="25"/>
  <c r="L78" i="25" s="1"/>
  <c r="K78" i="25" s="1"/>
  <c r="AO26" i="28" s="1"/>
  <c r="F26" i="28" s="1"/>
  <c r="H82" i="25"/>
  <c r="L82" i="25" s="1"/>
  <c r="K82" i="25" s="1"/>
  <c r="AO30" i="28" s="1"/>
  <c r="F30" i="28" s="1"/>
  <c r="H83" i="25"/>
  <c r="L83" i="25" s="1"/>
  <c r="K83" i="25" s="1"/>
  <c r="AO31" i="28" s="1"/>
  <c r="F31" i="28" s="1"/>
  <c r="H58" i="25"/>
  <c r="L58" i="25" s="1"/>
  <c r="K58" i="25" s="1"/>
  <c r="AO6" i="28" s="1"/>
  <c r="H62" i="25"/>
  <c r="L62" i="25" s="1"/>
  <c r="K62" i="25" s="1"/>
  <c r="AO10" i="28" s="1"/>
  <c r="H57" i="25"/>
  <c r="L57" i="25" s="1"/>
  <c r="K57" i="25" s="1"/>
  <c r="AO5" i="28" s="1"/>
  <c r="AN5" i="28" s="1"/>
  <c r="H79" i="25"/>
  <c r="L79" i="25" s="1"/>
  <c r="K79" i="25" s="1"/>
  <c r="AO27" i="28" s="1"/>
  <c r="F27" i="28" s="1"/>
  <c r="H63" i="25"/>
  <c r="L63" i="25" s="1"/>
  <c r="K63" i="25" s="1"/>
  <c r="AO11" i="28" s="1"/>
  <c r="H86" i="25"/>
  <c r="L86" i="25" s="1"/>
  <c r="K86" i="25" s="1"/>
  <c r="AO34" i="28" s="1"/>
  <c r="F34" i="28" s="1"/>
  <c r="H76" i="25"/>
  <c r="L76" i="25" s="1"/>
  <c r="K76" i="25" s="1"/>
  <c r="AO24" i="28" s="1"/>
  <c r="F24" i="28" s="1"/>
  <c r="H59" i="25"/>
  <c r="L59" i="25" s="1"/>
  <c r="K59" i="25" s="1"/>
  <c r="AO7" i="28" s="1"/>
  <c r="H64" i="25"/>
  <c r="L64" i="25" s="1"/>
  <c r="K64" i="25" s="1"/>
  <c r="AO12" i="28" s="1"/>
  <c r="H66" i="25"/>
  <c r="L66" i="25" s="1"/>
  <c r="K66" i="25" s="1"/>
  <c r="AO14" i="28" s="1"/>
  <c r="H84" i="25"/>
  <c r="L84" i="25" s="1"/>
  <c r="K84" i="25" s="1"/>
  <c r="AO32" i="28" s="1"/>
  <c r="F32" i="28" s="1"/>
  <c r="H71" i="25"/>
  <c r="L71" i="25" s="1"/>
  <c r="K71" i="25" s="1"/>
  <c r="AO19" i="28" s="1"/>
  <c r="H61" i="25"/>
  <c r="L61" i="25" s="1"/>
  <c r="K61" i="25" s="1"/>
  <c r="AO9" i="28" s="1"/>
  <c r="D103" i="25"/>
  <c r="F103" i="25" s="1"/>
  <c r="D102" i="25"/>
  <c r="F102" i="25" s="1"/>
  <c r="H90" i="26" l="1"/>
  <c r="F7" i="28"/>
  <c r="AN7" i="28"/>
  <c r="AM7" i="28"/>
  <c r="AZ7" i="28" s="1"/>
  <c r="BA7" i="28" s="1"/>
  <c r="AP7" i="28" s="1"/>
  <c r="AC7" i="28" s="1"/>
  <c r="P7" i="28" s="1"/>
  <c r="F21" i="28"/>
  <c r="AN21" i="28"/>
  <c r="AM21" i="28"/>
  <c r="AZ21" i="28" s="1"/>
  <c r="F17" i="28"/>
  <c r="AN17" i="28"/>
  <c r="AM17" i="28"/>
  <c r="AZ17" i="28" s="1"/>
  <c r="BA17" i="28" s="1"/>
  <c r="AP17" i="28" s="1"/>
  <c r="AC17" i="28" s="1"/>
  <c r="P17" i="28" s="1"/>
  <c r="F8" i="28"/>
  <c r="AN8" i="28"/>
  <c r="AM8" i="28"/>
  <c r="AM5" i="28"/>
  <c r="AZ5" i="28" s="1"/>
  <c r="F20" i="28"/>
  <c r="AN20" i="28"/>
  <c r="AM20" i="28"/>
  <c r="F19" i="28"/>
  <c r="AN19" i="28"/>
  <c r="AM19" i="28"/>
  <c r="AZ19" i="28" s="1"/>
  <c r="BA19" i="28" s="1"/>
  <c r="AP19" i="28" s="1"/>
  <c r="AC19" i="28" s="1"/>
  <c r="P19" i="28" s="1"/>
  <c r="F14" i="28"/>
  <c r="AN14" i="28"/>
  <c r="AM14" i="28"/>
  <c r="AZ14" i="28" s="1"/>
  <c r="F10" i="28"/>
  <c r="AN10" i="28"/>
  <c r="AM10" i="28"/>
  <c r="AZ10" i="28" s="1"/>
  <c r="F4" i="28"/>
  <c r="AN4" i="28"/>
  <c r="AM4" i="28"/>
  <c r="F9" i="28"/>
  <c r="AN9" i="28"/>
  <c r="AM9" i="28"/>
  <c r="F12" i="28"/>
  <c r="AN12" i="28"/>
  <c r="AM12" i="28"/>
  <c r="F11" i="28"/>
  <c r="AN11" i="28"/>
  <c r="AM11" i="28"/>
  <c r="AZ11" i="28" s="1"/>
  <c r="BA11" i="28" s="1"/>
  <c r="AP11" i="28" s="1"/>
  <c r="AC11" i="28" s="1"/>
  <c r="P11" i="28" s="1"/>
  <c r="AN6" i="28"/>
  <c r="BB6" i="28" s="1"/>
  <c r="H8" i="65" s="1"/>
  <c r="AM6" i="28"/>
  <c r="AZ6" i="28" s="1"/>
  <c r="F15" i="28"/>
  <c r="AN15" i="28"/>
  <c r="AM15" i="28"/>
  <c r="AZ15" i="28" s="1"/>
  <c r="F18" i="28"/>
  <c r="AN18" i="28"/>
  <c r="AM18" i="28"/>
  <c r="AZ18" i="28" s="1"/>
  <c r="BA18" i="28" s="1"/>
  <c r="AP18" i="28" s="1"/>
  <c r="AC18" i="28" s="1"/>
  <c r="P18" i="28" s="1"/>
  <c r="F13" i="28"/>
  <c r="AN13" i="28"/>
  <c r="AM13" i="28"/>
  <c r="F16" i="28"/>
  <c r="AN16" i="28"/>
  <c r="AM16" i="28"/>
  <c r="AZ16" i="28" s="1"/>
  <c r="BA16" i="28" s="1"/>
  <c r="AP16" i="28" s="1"/>
  <c r="AC16" i="28" s="1"/>
  <c r="P16" i="28" s="1"/>
  <c r="F6" i="28"/>
  <c r="F5" i="28"/>
  <c r="AZ12" i="28"/>
  <c r="AZ13" i="28"/>
  <c r="AN28" i="28"/>
  <c r="BB28" i="28" s="1"/>
  <c r="AM28" i="28"/>
  <c r="AZ28" i="28" s="1"/>
  <c r="AN34" i="28"/>
  <c r="AM34" i="28"/>
  <c r="AZ34" i="28" s="1"/>
  <c r="AN26" i="28"/>
  <c r="BB26" i="28" s="1"/>
  <c r="AM26" i="28"/>
  <c r="AZ26" i="28" s="1"/>
  <c r="AN33" i="28"/>
  <c r="BB33" i="28" s="1"/>
  <c r="AM33" i="28"/>
  <c r="AZ33" i="28" s="1"/>
  <c r="AN25" i="28"/>
  <c r="BB25" i="28" s="1"/>
  <c r="AM25" i="28"/>
  <c r="AZ25" i="28" s="1"/>
  <c r="AZ4" i="28"/>
  <c r="BA4" i="28" s="1"/>
  <c r="AP4" i="28" s="1"/>
  <c r="AC4" i="28" s="1"/>
  <c r="AM32" i="28"/>
  <c r="AZ32" i="28" s="1"/>
  <c r="AN32" i="28"/>
  <c r="BB32" i="28" s="1"/>
  <c r="AM24" i="28"/>
  <c r="AZ24" i="28" s="1"/>
  <c r="AN24" i="28"/>
  <c r="BB24" i="28" s="1"/>
  <c r="AM30" i="28"/>
  <c r="AN30" i="28"/>
  <c r="AZ20" i="28"/>
  <c r="BA20" i="28" s="1"/>
  <c r="AP20" i="28" s="1"/>
  <c r="AC20" i="28" s="1"/>
  <c r="P20" i="28" s="1"/>
  <c r="AN23" i="28"/>
  <c r="BB23" i="28" s="1"/>
  <c r="AM23" i="28"/>
  <c r="AZ23" i="28" s="1"/>
  <c r="AN29" i="28"/>
  <c r="BB29" i="28" s="1"/>
  <c r="AM29" i="28"/>
  <c r="AZ29" i="28" s="1"/>
  <c r="AN35" i="28"/>
  <c r="AM35" i="28"/>
  <c r="AZ35" i="28" s="1"/>
  <c r="AM36" i="28"/>
  <c r="AZ36" i="28" s="1"/>
  <c r="AN36" i="28"/>
  <c r="AZ9" i="28"/>
  <c r="BA9" i="28" s="1"/>
  <c r="AP9" i="28" s="1"/>
  <c r="AC9" i="28" s="1"/>
  <c r="P9" i="28" s="1"/>
  <c r="AN27" i="28"/>
  <c r="BB27" i="28" s="1"/>
  <c r="AM27" i="28"/>
  <c r="AZ27" i="28" s="1"/>
  <c r="AN31" i="28"/>
  <c r="BB31" i="28" s="1"/>
  <c r="AM31" i="28"/>
  <c r="AZ31" i="28" s="1"/>
  <c r="AM22" i="28"/>
  <c r="AZ22" i="28" s="1"/>
  <c r="AN22" i="28"/>
  <c r="BB22" i="28" s="1"/>
  <c r="AZ8" i="28"/>
  <c r="BA8" i="28" s="1"/>
  <c r="AP8" i="28" s="1"/>
  <c r="AC8" i="28" s="1"/>
  <c r="P8" i="28" s="1"/>
  <c r="AN37" i="28"/>
  <c r="BB37" i="28" s="1"/>
  <c r="AM37" i="28"/>
  <c r="AZ37" i="28" s="1"/>
  <c r="H91" i="25"/>
  <c r="L55" i="25"/>
  <c r="S5" i="65" l="1"/>
  <c r="R5" i="65"/>
  <c r="K55" i="25"/>
  <c r="AO40" i="28" s="1"/>
  <c r="L91" i="25"/>
  <c r="AZ30" i="28"/>
  <c r="BB30" i="28"/>
  <c r="BB12" i="28"/>
  <c r="H14" i="65" s="1"/>
  <c r="BB16" i="28"/>
  <c r="H18" i="65" s="1"/>
  <c r="BB8" i="28"/>
  <c r="H10" i="65" s="1"/>
  <c r="BB10" i="28"/>
  <c r="H12" i="65" s="1"/>
  <c r="BB17" i="28"/>
  <c r="H19" i="65" s="1"/>
  <c r="BB15" i="28"/>
  <c r="H17" i="65" s="1"/>
  <c r="BB7" i="28"/>
  <c r="H9" i="65" s="1"/>
  <c r="BB5" i="28"/>
  <c r="H7" i="65" s="1"/>
  <c r="BB21" i="28"/>
  <c r="H23" i="65" s="1"/>
  <c r="BB9" i="28"/>
  <c r="H11" i="65" s="1"/>
  <c r="BB4" i="28"/>
  <c r="H6" i="65" s="1"/>
  <c r="BB13" i="28"/>
  <c r="H15" i="65" s="1"/>
  <c r="BB19" i="28"/>
  <c r="H21" i="65" s="1"/>
  <c r="BB18" i="28"/>
  <c r="H20" i="65" s="1"/>
  <c r="BB20" i="28"/>
  <c r="H22" i="65" s="1"/>
  <c r="BB14" i="28"/>
  <c r="H16" i="65" s="1"/>
  <c r="BB11" i="28"/>
  <c r="H13" i="65" s="1"/>
  <c r="AB5" i="65" l="1"/>
  <c r="AC5" i="65"/>
  <c r="AR5" i="65"/>
  <c r="AS5" i="65"/>
  <c r="AV5" i="65"/>
  <c r="AW5" i="65"/>
  <c r="AN5" i="65"/>
  <c r="AO5" i="65"/>
  <c r="AE5" i="65"/>
  <c r="AD5" i="65"/>
  <c r="AF5" i="65"/>
  <c r="AG5" i="65"/>
  <c r="P5" i="65"/>
  <c r="Q5" i="65"/>
  <c r="AA5" i="65"/>
  <c r="Z5" i="65"/>
  <c r="AU5" i="65"/>
  <c r="AT5" i="65"/>
  <c r="O5" i="65"/>
  <c r="N5" i="65"/>
  <c r="U5" i="65"/>
  <c r="T5" i="65"/>
  <c r="W5" i="65"/>
  <c r="V5" i="65"/>
  <c r="AQ5" i="65"/>
  <c r="AP5" i="65"/>
  <c r="Y5" i="65"/>
  <c r="X5" i="65"/>
  <c r="AJ5" i="65"/>
  <c r="AK5" i="65"/>
  <c r="AM5" i="65"/>
  <c r="AL5" i="65"/>
  <c r="AI5" i="65"/>
  <c r="AH5" i="65"/>
  <c r="E62" i="28"/>
  <c r="F64" i="28" s="1"/>
  <c r="F3" i="28"/>
  <c r="K91" i="25"/>
  <c r="J5" i="65"/>
  <c r="E64" i="28" l="1"/>
  <c r="E65" i="28"/>
  <c r="J55" i="25"/>
  <c r="J88" i="25"/>
  <c r="J89" i="25"/>
  <c r="AZ3" i="28"/>
  <c r="J64" i="25"/>
  <c r="J58" i="25"/>
  <c r="J84" i="25"/>
  <c r="J71" i="25"/>
  <c r="J80" i="25"/>
  <c r="J85" i="25"/>
  <c r="J79" i="25"/>
  <c r="J56" i="25"/>
  <c r="J81" i="25"/>
  <c r="J69" i="25"/>
  <c r="J67" i="25"/>
  <c r="J61" i="25"/>
  <c r="J62" i="25"/>
  <c r="J86" i="25"/>
  <c r="J59" i="25"/>
  <c r="J78" i="25"/>
  <c r="J77" i="25"/>
  <c r="J60" i="25"/>
  <c r="J83" i="25"/>
  <c r="J66" i="25"/>
  <c r="J74" i="25"/>
  <c r="J63" i="25"/>
  <c r="J73" i="25"/>
  <c r="J87" i="25"/>
  <c r="J75" i="25"/>
  <c r="J65" i="25"/>
  <c r="J72" i="25"/>
  <c r="J57" i="25"/>
  <c r="J76" i="25"/>
  <c r="J68" i="25"/>
  <c r="J70" i="25"/>
  <c r="J82" i="25"/>
  <c r="J91" i="25" l="1"/>
  <c r="A12" i="26"/>
  <c r="A12" i="25" s="1"/>
  <c r="A11" i="26"/>
  <c r="A11" i="25" s="1"/>
  <c r="A10" i="26"/>
  <c r="A10" i="25" s="1"/>
  <c r="A9" i="26"/>
  <c r="A9" i="25" s="1"/>
  <c r="I5" i="65"/>
</calcChain>
</file>

<file path=xl/sharedStrings.xml><?xml version="1.0" encoding="utf-8"?>
<sst xmlns="http://schemas.openxmlformats.org/spreadsheetml/2006/main" count="3396" uniqueCount="290">
  <si>
    <t>IGASAMEX BAJIO, S. DE R.L. DE C.V.</t>
  </si>
  <si>
    <t>CALCULO DEL CONSUMO POR USUARIO</t>
  </si>
  <si>
    <t>SISTEMA:</t>
  </si>
  <si>
    <t>TOTAL&gt;</t>
  </si>
  <si>
    <t>CALCULO:</t>
  </si>
  <si>
    <t>Periodo</t>
  </si>
  <si>
    <t>Del</t>
  </si>
  <si>
    <t>Al</t>
  </si>
  <si>
    <t>BOSQUES DE ALISOS 47-A  5O PISO, COL. BOSQUES DE LAS LOMAS</t>
  </si>
  <si>
    <t>C.P. 05120, MEXICO, D.F.</t>
  </si>
  <si>
    <t>USUARIOS:</t>
  </si>
  <si>
    <t>FECHA:</t>
  </si>
  <si>
    <t>MES A FACTURAR:</t>
  </si>
  <si>
    <t>PERIODO A FACTURAR:</t>
  </si>
  <si>
    <t>OPERADOR:</t>
  </si>
  <si>
    <t>MMBTU</t>
  </si>
  <si>
    <t>MCF</t>
  </si>
  <si>
    <t>EQUIPO:</t>
  </si>
  <si>
    <t>CASETA NO.</t>
  </si>
  <si>
    <t>I. CONSUMOS POR USUARIO</t>
  </si>
  <si>
    <t>CASETA IGASAMEX BAJIO</t>
  </si>
  <si>
    <t>USUARIOS</t>
  </si>
  <si>
    <t>FLUJO</t>
  </si>
  <si>
    <t>ENERGIA</t>
  </si>
  <si>
    <t>(MMBTU)</t>
  </si>
  <si>
    <t>%</t>
  </si>
  <si>
    <t>INTERCONEXION PEMEX-IGASAMEX</t>
  </si>
  <si>
    <t>FACTURACION PEMEX</t>
  </si>
  <si>
    <t>Energia</t>
  </si>
  <si>
    <t>II. ERROR DE MEDICION</t>
  </si>
  <si>
    <t>ERROR INTERCONEXION-USUARIOS</t>
  </si>
  <si>
    <t>DIFERENCIA COMPUTADOR-PEMEX (ENERGIA)</t>
  </si>
  <si>
    <t>PODER CALORIFICO (ultimo valor del computador)</t>
  </si>
  <si>
    <t>BTU/CF</t>
  </si>
  <si>
    <t>M3</t>
  </si>
  <si>
    <t>Ing. Rafael González Domínguez</t>
  </si>
  <si>
    <t>Días Trabajados</t>
  </si>
  <si>
    <t>DIFERENCIA USUARIOS-PEMEX (ENERGIA)</t>
  </si>
  <si>
    <t>Parámetros de Configuración:</t>
  </si>
  <si>
    <t>Presión Atmosférica =</t>
  </si>
  <si>
    <t>0.8347 kg/cm2 (11.87)</t>
  </si>
  <si>
    <t>Presión Base =</t>
  </si>
  <si>
    <t>Temperatura Base =</t>
  </si>
  <si>
    <t>20 oC (68 oF)</t>
  </si>
  <si>
    <t>Fecha</t>
  </si>
  <si>
    <t>Computador</t>
  </si>
  <si>
    <t>Presión (kg/cm2)</t>
  </si>
  <si>
    <t>Variación</t>
  </si>
  <si>
    <t>Promedio diario</t>
  </si>
  <si>
    <t xml:space="preserve">Total del mes </t>
  </si>
  <si>
    <t>Facturación PGPB</t>
  </si>
  <si>
    <t>Volumen M3</t>
  </si>
  <si>
    <t>Usuarios</t>
  </si>
  <si>
    <t>TOTAL</t>
  </si>
  <si>
    <t>INTERCONEXIÓN</t>
  </si>
  <si>
    <t>Sub Total</t>
  </si>
  <si>
    <t>Porcentaje</t>
  </si>
  <si>
    <t>Balanceo</t>
  </si>
  <si>
    <t>Energía Facturable</t>
  </si>
  <si>
    <t>REVISO:</t>
  </si>
  <si>
    <t xml:space="preserve">Ajuste </t>
  </si>
  <si>
    <t>Comparación de Mediciones de Computadores de Flujo vs. Facturacion PGPB</t>
  </si>
  <si>
    <t>Energia GJoul</t>
  </si>
  <si>
    <t>Gjoul</t>
  </si>
  <si>
    <t>(GJoul)</t>
  </si>
  <si>
    <t>Poder calorífico Kjoule/m3</t>
  </si>
  <si>
    <t>Volumen MCFD</t>
  </si>
  <si>
    <t>1 kg/cm2 (14.22 psi)</t>
  </si>
  <si>
    <t>m3</t>
  </si>
  <si>
    <t>Medición de la Primera Quincena</t>
  </si>
  <si>
    <t>Medición de la Segunda Quincena</t>
  </si>
  <si>
    <t>Variación Interconexión vs</t>
  </si>
  <si>
    <t>PGPB</t>
  </si>
  <si>
    <t>CALCULÓ:</t>
  </si>
  <si>
    <t>REVISÓ:</t>
  </si>
  <si>
    <t>Sistema</t>
  </si>
  <si>
    <t>Item</t>
  </si>
  <si>
    <t>Número de Cliente</t>
  </si>
  <si>
    <t>Nombre</t>
  </si>
  <si>
    <t>Poder calorifico BTU/CF</t>
  </si>
  <si>
    <t>Claves</t>
  </si>
  <si>
    <t>Costos (dólares)</t>
  </si>
  <si>
    <t>Cantidad (MMBTU)</t>
  </si>
  <si>
    <t>CMD</t>
  </si>
  <si>
    <t>Días Laborados</t>
  </si>
  <si>
    <t>cm</t>
  </si>
  <si>
    <t>Fórmula PEN</t>
  </si>
  <si>
    <t>cr</t>
  </si>
  <si>
    <t>PEN</t>
  </si>
  <si>
    <t>Volumen de Consumo MMBTU/Día</t>
  </si>
  <si>
    <t>Comentarios</t>
  </si>
  <si>
    <t>CTR</t>
  </si>
  <si>
    <t>CCO</t>
  </si>
  <si>
    <t>CFC</t>
  </si>
  <si>
    <t>CVC</t>
  </si>
  <si>
    <t>Otros</t>
  </si>
  <si>
    <t>TRA</t>
  </si>
  <si>
    <t>COM</t>
  </si>
  <si>
    <t>GAS</t>
  </si>
  <si>
    <t>DIS</t>
  </si>
  <si>
    <t>CTC</t>
  </si>
  <si>
    <t>CTU</t>
  </si>
  <si>
    <t>I</t>
  </si>
  <si>
    <t>PRECIOS</t>
  </si>
  <si>
    <t>Tipo de cambio</t>
  </si>
  <si>
    <t>Tipo Cambio</t>
  </si>
  <si>
    <t>(2-8)</t>
  </si>
  <si>
    <t>(4-9)</t>
  </si>
  <si>
    <t>(6-10)</t>
  </si>
  <si>
    <t>1ra Semana</t>
  </si>
  <si>
    <t>2da Semana</t>
  </si>
  <si>
    <t>3ra semana</t>
  </si>
  <si>
    <t>4ta Semana</t>
  </si>
  <si>
    <t>5ta Semana</t>
  </si>
  <si>
    <t>2da Quincena</t>
  </si>
  <si>
    <t>1ra Quincena</t>
  </si>
  <si>
    <r>
      <t>Volumen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/día) a: 1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y 20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</si>
  <si>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r>
      <t>Temperatura (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</si>
  <si>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Presión (kg/cm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</si>
  <si>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Diferencia (Computador - Medición Fisica PGPB)</t>
  </si>
  <si>
    <t>Medición Física PGPB</t>
  </si>
  <si>
    <t>(2-8)/8</t>
  </si>
  <si>
    <t xml:space="preserve">% Ajuste </t>
  </si>
  <si>
    <t>% Ajuste final</t>
  </si>
  <si>
    <t>Energía Final</t>
  </si>
  <si>
    <t>DÍAS DE CONSUMO</t>
  </si>
  <si>
    <t>A favor de</t>
  </si>
  <si>
    <t>Consumo</t>
  </si>
  <si>
    <t>Pesos/GJoul</t>
  </si>
  <si>
    <t>USD/MMBTU</t>
  </si>
  <si>
    <t>TC del día de la facturación</t>
  </si>
  <si>
    <t>Facturación Mes Anterior</t>
  </si>
  <si>
    <t>Precio Gas</t>
  </si>
  <si>
    <t>ALARMAS</t>
  </si>
  <si>
    <r>
      <t>Volumen (m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/día) a: 1 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y 20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</si>
  <si>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F)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</si>
  <si>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C)</t>
    </r>
  </si>
  <si>
    <r>
      <t>Presión (kg/cm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</si>
  <si>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Factor de Correción</t>
  </si>
  <si>
    <t>Presión (KPa)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</si>
  <si>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</si>
  <si>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</si>
  <si>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</si>
  <si>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</si>
  <si>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</si>
  <si>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</si>
  <si>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</si>
  <si>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AN</t>
  </si>
  <si>
    <t>ANN</t>
  </si>
  <si>
    <t>BV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</si>
  <si>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</si>
  <si>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</si>
  <si>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</si>
  <si>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</si>
  <si>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</si>
  <si>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</si>
  <si>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</si>
  <si>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</si>
  <si>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</si>
  <si>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</si>
  <si>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</si>
  <si>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</si>
  <si>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</si>
  <si>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</si>
  <si>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</si>
  <si>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</si>
  <si>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</si>
  <si>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</si>
  <si>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</si>
  <si>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</si>
  <si>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</si>
  <si>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</si>
  <si>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</si>
  <si>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</si>
  <si>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</si>
  <si>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</si>
  <si>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</si>
  <si>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</si>
  <si>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</si>
  <si>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</si>
  <si>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</si>
  <si>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</si>
  <si>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</si>
  <si>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</si>
  <si>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</si>
  <si>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</si>
  <si>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</si>
  <si>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</si>
  <si>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</si>
  <si>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</si>
  <si>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</si>
  <si>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</si>
  <si>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</si>
  <si>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</si>
  <si>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</si>
  <si>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</si>
  <si>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</si>
  <si>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</si>
  <si>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</si>
  <si>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</si>
  <si>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</si>
  <si>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</si>
  <si>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</si>
  <si>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</si>
  <si>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</si>
  <si>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</si>
  <si>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</si>
  <si>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</si>
  <si>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</si>
  <si>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</si>
  <si>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</si>
  <si>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</si>
  <si>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</si>
  <si>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</si>
  <si>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</si>
  <si>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</si>
  <si>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</si>
  <si>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MONEDA</t>
  </si>
  <si>
    <t>USD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</si>
  <si>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</si>
  <si>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</si>
  <si>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</si>
  <si>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</si>
  <si>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</si>
  <si>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</si>
  <si>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</si>
  <si>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</si>
  <si>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</si>
  <si>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</si>
  <si>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</si>
  <si>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</si>
  <si>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</si>
  <si>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</si>
  <si>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</si>
  <si>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</si>
  <si>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Ing. Octavio Muñoz</t>
  </si>
  <si>
    <t>Floboss 504</t>
  </si>
  <si>
    <t>(cm-cr)*$T</t>
  </si>
  <si>
    <t>OMM</t>
  </si>
  <si>
    <t>Sistema Parque Opción 11046-01</t>
  </si>
  <si>
    <t>Alarma Usuarios &gt; Interconexion</t>
  </si>
  <si>
    <t>Alarma Usuarios &lt; Interconexion</t>
  </si>
  <si>
    <t>Sumatoria vs Interconexión</t>
  </si>
  <si>
    <t>Estación 13031-01, Tizayuca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</si>
  <si>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</si>
  <si>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</si>
  <si>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</si>
  <si>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</si>
  <si>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</si>
  <si>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</si>
  <si>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</si>
  <si>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</si>
  <si>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</si>
  <si>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</si>
  <si>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</si>
  <si>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</si>
  <si>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</si>
  <si>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</si>
  <si>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</si>
  <si>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</si>
  <si>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</si>
  <si>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</si>
  <si>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</si>
  <si>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</si>
  <si>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l</t>
  </si>
  <si>
    <t>TIZAYUCA</t>
  </si>
  <si>
    <t>Valchem</t>
  </si>
  <si>
    <t>Textiles ROMATEX</t>
  </si>
  <si>
    <t>TEXSA</t>
  </si>
  <si>
    <t>Industrial de Espumas</t>
  </si>
  <si>
    <t>Textiles y Acabados de Mexico</t>
  </si>
  <si>
    <t>Comercializadora</t>
  </si>
  <si>
    <t>TEJIMAQ, S.A. DE C.V.</t>
  </si>
  <si>
    <t>TECAMAC INDUSTRIAL</t>
  </si>
  <si>
    <t>MOLIENDAS TIZAYUCA S.A. DE C.V.</t>
  </si>
  <si>
    <t>ZINC Y SUS DERIVADOS</t>
  </si>
  <si>
    <t>IMPERQUIMIA</t>
  </si>
  <si>
    <t>Tizayuca</t>
  </si>
  <si>
    <t>13031-01</t>
  </si>
  <si>
    <t>(cm-cr)*$T*0.5</t>
  </si>
  <si>
    <t>$T*0.5*cm</t>
  </si>
  <si>
    <t>&lt;1&gt;</t>
  </si>
  <si>
    <t>Tabla</t>
  </si>
  <si>
    <t>Importe</t>
  </si>
  <si>
    <t>Transporte</t>
  </si>
  <si>
    <t>Comercia</t>
  </si>
  <si>
    <t>01/03/2013 al 31/03/2013</t>
  </si>
  <si>
    <t>CE</t>
  </si>
  <si>
    <t>FENO RESINAS, S.A. D</t>
  </si>
  <si>
    <t>El Cliente está en el rango máximo de consumos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</si>
</sst>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  <numFmt numFmtId="165" formatCode="0.000"/>
    <numFmt numFmtId="166" formatCode="#,##0.000000"/>
    <numFmt numFmtId="167" formatCode="mmmm\-yy"/>
    <numFmt numFmtId="168" formatCode="_(* #,##0.00_);_(* \(#,##0.00\);_(* &quot;-&quot;??_);_(@_)"/>
    <numFmt numFmtId="169" formatCode="0.000%"/>
    <numFmt numFmtId="170" formatCode="_(* #,##0.000_);_(* \(#,##0.000\);_(* &quot;-&quot;??_);_(@_)"/>
    <numFmt numFmtId="171" formatCode="#,##0.0000"/>
    <numFmt numFmtId="172" formatCode="0.0000"/>
    <numFmt numFmtId="173" formatCode="&quot;$&quot;#,##0.0000;[Red]\-&quot;$&quot;#,##0.0000"/>
    <numFmt numFmtId="174" formatCode="_-&quot;$&quot;* #,##0.0000_-;\-&quot;$&quot;* #,##0.0000_-;_-&quot;$&quot;* &quot;-&quot;??_-;_-@_-"/>
    <numFmt numFmtId="175" formatCode="&quot;$&quot;#,##0.0000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color indexed="18"/>
      <name val="Verdana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8"/>
      <color indexed="18"/>
      <name val="Arial"/>
      <family val="2"/>
    </font>
    <font>
      <b/>
      <vertAlign val="superscript"/>
      <sz val="9"/>
      <name val="Arial"/>
      <family val="2"/>
    </font>
    <font>
      <sz val="10"/>
      <color indexed="10"/>
      <name val="Arial"/>
      <family val="2"/>
    </font>
    <font>
      <sz val="10"/>
      <color indexed="50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  <font>
      <b/>
      <sz val="10"/>
      <color indexed="13"/>
      <name val="Arial"/>
      <family val="2"/>
    </font>
    <font>
      <sz val="9"/>
      <color indexed="1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8"/>
      </left>
      <right style="dashed">
        <color indexed="18"/>
      </right>
      <top style="dashed">
        <color indexed="18"/>
      </top>
      <bottom style="dashed">
        <color indexed="1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</cellStyleXfs>
  <cellXfs count="864">
    <xf numFmtId="0" fontId="0" fillId="0" borderId="0" xfId="0"/>
    <xf numFmtId="40" fontId="0" fillId="0" borderId="0" xfId="0" applyNumberFormat="1"/>
    <xf numFmtId="40" fontId="4" fillId="0" borderId="1" xfId="0" applyNumberFormat="1" applyFont="1" applyBorder="1" applyAlignment="1">
      <alignment horizontal="center" vertical="center"/>
    </xf>
    <xf numFmtId="40" fontId="0" fillId="0" borderId="0" xfId="0" applyNumberFormat="1" applyAlignment="1">
      <alignment horizontal="justify" vertical="center"/>
    </xf>
    <xf numFmtId="40" fontId="0" fillId="0" borderId="1" xfId="0" applyNumberFormat="1" applyBorder="1"/>
    <xf numFmtId="40" fontId="8" fillId="0" borderId="0" xfId="0" applyNumberFormat="1" applyFont="1"/>
    <xf numFmtId="0" fontId="0" fillId="0" borderId="0" xfId="0" applyBorder="1" applyAlignment="1"/>
    <xf numFmtId="164" fontId="3" fillId="0" borderId="1" xfId="0" applyNumberFormat="1" applyFont="1" applyBorder="1" applyAlignment="1"/>
    <xf numFmtId="0" fontId="0" fillId="0" borderId="0" xfId="0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Border="1"/>
    <xf numFmtId="0" fontId="8" fillId="0" borderId="0" xfId="0" applyFont="1"/>
    <xf numFmtId="10" fontId="8" fillId="0" borderId="0" xfId="3" applyNumberFormat="1" applyFont="1"/>
    <xf numFmtId="10" fontId="8" fillId="0" borderId="1" xfId="3" applyNumberFormat="1" applyFont="1" applyBorder="1"/>
    <xf numFmtId="10" fontId="3" fillId="0" borderId="1" xfId="3" applyNumberFormat="1" applyFont="1" applyBorder="1" applyAlignment="1"/>
    <xf numFmtId="10" fontId="1" fillId="0" borderId="1" xfId="3" applyNumberFormat="1" applyBorder="1"/>
    <xf numFmtId="0" fontId="13" fillId="0" borderId="2" xfId="0" applyFont="1" applyBorder="1" applyAlignment="1">
      <alignment horizontal="right" vertical="center"/>
    </xf>
    <xf numFmtId="10" fontId="10" fillId="0" borderId="0" xfId="0" applyNumberFormat="1" applyFont="1" applyAlignment="1">
      <alignment horizontal="center"/>
    </xf>
    <xf numFmtId="0" fontId="12" fillId="2" borderId="3" xfId="0" applyFont="1" applyFill="1" applyBorder="1"/>
    <xf numFmtId="0" fontId="14" fillId="2" borderId="4" xfId="0" applyFont="1" applyFill="1" applyBorder="1"/>
    <xf numFmtId="0" fontId="1" fillId="2" borderId="4" xfId="0" applyFont="1" applyFill="1" applyBorder="1"/>
    <xf numFmtId="0" fontId="0" fillId="2" borderId="5" xfId="0" applyFill="1" applyBorder="1"/>
    <xf numFmtId="0" fontId="12" fillId="2" borderId="6" xfId="0" applyFont="1" applyFill="1" applyBorder="1"/>
    <xf numFmtId="0" fontId="12" fillId="2" borderId="4" xfId="0" applyFont="1" applyFill="1" applyBorder="1"/>
    <xf numFmtId="0" fontId="12" fillId="2" borderId="7" xfId="0" applyFont="1" applyFill="1" applyBorder="1"/>
    <xf numFmtId="0" fontId="15" fillId="2" borderId="0" xfId="0" applyFont="1" applyFill="1" applyBorder="1"/>
    <xf numFmtId="0" fontId="1" fillId="2" borderId="0" xfId="0" applyFont="1" applyFill="1" applyBorder="1"/>
    <xf numFmtId="0" fontId="0" fillId="2" borderId="8" xfId="0" applyFill="1" applyBorder="1"/>
    <xf numFmtId="0" fontId="12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2" fillId="2" borderId="0" xfId="0" applyFont="1" applyFill="1" applyBorder="1"/>
    <xf numFmtId="0" fontId="16" fillId="2" borderId="0" xfId="0" applyFont="1" applyFill="1" applyBorder="1"/>
    <xf numFmtId="0" fontId="16" fillId="2" borderId="12" xfId="0" applyFont="1" applyFill="1" applyBorder="1"/>
    <xf numFmtId="15" fontId="15" fillId="0" borderId="10" xfId="0" applyNumberFormat="1" applyFont="1" applyFill="1" applyBorder="1" applyAlignment="1">
      <alignment horizontal="center"/>
    </xf>
    <xf numFmtId="15" fontId="15" fillId="0" borderId="13" xfId="0" applyNumberFormat="1" applyFont="1" applyFill="1" applyBorder="1" applyAlignment="1">
      <alignment horizontal="center"/>
    </xf>
    <xf numFmtId="15" fontId="15" fillId="0" borderId="8" xfId="0" applyNumberFormat="1" applyFont="1" applyFill="1" applyBorder="1" applyAlignment="1">
      <alignment horizontal="center"/>
    </xf>
    <xf numFmtId="0" fontId="12" fillId="2" borderId="14" xfId="0" applyFont="1" applyFill="1" applyBorder="1"/>
    <xf numFmtId="0" fontId="1" fillId="2" borderId="15" xfId="0" applyFont="1" applyFill="1" applyBorder="1"/>
    <xf numFmtId="0" fontId="0" fillId="2" borderId="16" xfId="0" applyFill="1" applyBorder="1"/>
    <xf numFmtId="0" fontId="0" fillId="2" borderId="15" xfId="0" applyFill="1" applyBorder="1"/>
    <xf numFmtId="0" fontId="0" fillId="0" borderId="17" xfId="0" applyFill="1" applyBorder="1"/>
    <xf numFmtId="0" fontId="0" fillId="0" borderId="16" xfId="0" applyFill="1" applyBorder="1"/>
    <xf numFmtId="1" fontId="16" fillId="2" borderId="15" xfId="0" applyNumberFormat="1" applyFont="1" applyFill="1" applyBorder="1"/>
    <xf numFmtId="0" fontId="16" fillId="2" borderId="18" xfId="0" applyFont="1" applyFill="1" applyBorder="1"/>
    <xf numFmtId="0" fontId="11" fillId="0" borderId="0" xfId="0" applyFont="1"/>
    <xf numFmtId="0" fontId="8" fillId="2" borderId="1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8" fillId="2" borderId="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11" xfId="0" applyBorder="1"/>
    <xf numFmtId="168" fontId="17" fillId="0" borderId="8" xfId="1" applyFont="1" applyBorder="1"/>
    <xf numFmtId="0" fontId="0" fillId="0" borderId="22" xfId="0" applyBorder="1"/>
    <xf numFmtId="1" fontId="0" fillId="0" borderId="10" xfId="0" applyNumberFormat="1" applyBorder="1"/>
    <xf numFmtId="1" fontId="0" fillId="0" borderId="22" xfId="0" applyNumberFormat="1" applyBorder="1"/>
    <xf numFmtId="4" fontId="0" fillId="0" borderId="10" xfId="0" applyNumberFormat="1" applyBorder="1"/>
    <xf numFmtId="0" fontId="8" fillId="0" borderId="22" xfId="0" applyFont="1" applyBorder="1"/>
    <xf numFmtId="0" fontId="0" fillId="0" borderId="8" xfId="0" applyBorder="1"/>
    <xf numFmtId="168" fontId="17" fillId="0" borderId="13" xfId="1" applyFont="1" applyBorder="1"/>
    <xf numFmtId="168" fontId="17" fillId="0" borderId="13" xfId="0" applyNumberFormat="1" applyFont="1" applyBorder="1"/>
    <xf numFmtId="1" fontId="0" fillId="0" borderId="13" xfId="0" applyNumberFormat="1" applyBorder="1"/>
    <xf numFmtId="4" fontId="0" fillId="0" borderId="13" xfId="0" applyNumberFormat="1" applyBorder="1"/>
    <xf numFmtId="168" fontId="18" fillId="0" borderId="8" xfId="1" applyFont="1" applyBorder="1"/>
    <xf numFmtId="10" fontId="8" fillId="0" borderId="22" xfId="3" applyNumberFormat="1" applyFont="1" applyBorder="1" applyAlignment="1">
      <alignment horizontal="center"/>
    </xf>
    <xf numFmtId="4" fontId="0" fillId="0" borderId="22" xfId="3" applyNumberFormat="1" applyFont="1" applyBorder="1"/>
    <xf numFmtId="4" fontId="0" fillId="0" borderId="13" xfId="3" applyNumberFormat="1" applyFont="1" applyBorder="1"/>
    <xf numFmtId="2" fontId="0" fillId="0" borderId="0" xfId="0" applyNumberFormat="1"/>
    <xf numFmtId="0" fontId="8" fillId="0" borderId="0" xfId="0" applyFont="1" applyAlignment="1">
      <alignment horizontal="right"/>
    </xf>
    <xf numFmtId="0" fontId="0" fillId="0" borderId="20" xfId="0" applyBorder="1"/>
    <xf numFmtId="168" fontId="17" fillId="0" borderId="0" xfId="1" applyFont="1"/>
    <xf numFmtId="168" fontId="17" fillId="0" borderId="0" xfId="0" applyNumberFormat="1" applyFont="1"/>
    <xf numFmtId="168" fontId="8" fillId="0" borderId="0" xfId="1" applyFont="1"/>
    <xf numFmtId="10" fontId="17" fillId="0" borderId="0" xfId="3" applyNumberFormat="1" applyFont="1"/>
    <xf numFmtId="0" fontId="8" fillId="0" borderId="20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5" fontId="0" fillId="2" borderId="1" xfId="0" applyNumberFormat="1" applyFill="1" applyBorder="1"/>
    <xf numFmtId="168" fontId="1" fillId="2" borderId="1" xfId="1" applyNumberFormat="1" applyFill="1" applyBorder="1"/>
    <xf numFmtId="15" fontId="0" fillId="0" borderId="0" xfId="0" applyNumberFormat="1"/>
    <xf numFmtId="168" fontId="8" fillId="0" borderId="0" xfId="0" applyNumberFormat="1" applyFont="1"/>
    <xf numFmtId="0" fontId="3" fillId="0" borderId="0" xfId="0" applyFont="1"/>
    <xf numFmtId="0" fontId="8" fillId="3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4" fontId="18" fillId="0" borderId="8" xfId="1" applyNumberFormat="1" applyFont="1" applyBorder="1"/>
    <xf numFmtId="168" fontId="18" fillId="0" borderId="13" xfId="1" applyFont="1" applyBorder="1"/>
    <xf numFmtId="169" fontId="8" fillId="0" borderId="22" xfId="3" applyNumberFormat="1" applyFont="1" applyBorder="1" applyAlignment="1"/>
    <xf numFmtId="0" fontId="8" fillId="0" borderId="8" xfId="0" applyFont="1" applyBorder="1" applyAlignment="1">
      <alignment horizontal="right"/>
    </xf>
    <xf numFmtId="168" fontId="1" fillId="2" borderId="1" xfId="1" applyFill="1" applyBorder="1"/>
    <xf numFmtId="10" fontId="0" fillId="0" borderId="0" xfId="0" applyNumberFormat="1"/>
    <xf numFmtId="10" fontId="12" fillId="2" borderId="4" xfId="0" applyNumberFormat="1" applyFont="1" applyFill="1" applyBorder="1"/>
    <xf numFmtId="10" fontId="12" fillId="2" borderId="0" xfId="0" applyNumberFormat="1" applyFont="1" applyFill="1" applyBorder="1"/>
    <xf numFmtId="10" fontId="12" fillId="2" borderId="15" xfId="0" applyNumberFormat="1" applyFont="1" applyFill="1" applyBorder="1"/>
    <xf numFmtId="0" fontId="0" fillId="2" borderId="23" xfId="0" applyFill="1" applyBorder="1"/>
    <xf numFmtId="0" fontId="0" fillId="2" borderId="24" xfId="0" applyFill="1" applyBorder="1"/>
    <xf numFmtId="10" fontId="8" fillId="4" borderId="20" xfId="0" applyNumberFormat="1" applyFont="1" applyFill="1" applyBorder="1" applyAlignment="1">
      <alignment horizontal="center"/>
    </xf>
    <xf numFmtId="10" fontId="0" fillId="0" borderId="22" xfId="0" applyNumberFormat="1" applyBorder="1"/>
    <xf numFmtId="10" fontId="0" fillId="0" borderId="0" xfId="3" applyNumberFormat="1" applyFont="1" applyBorder="1"/>
    <xf numFmtId="10" fontId="8" fillId="0" borderId="22" xfId="3" applyNumberFormat="1" applyFont="1" applyBorder="1" applyAlignment="1"/>
    <xf numFmtId="170" fontId="1" fillId="2" borderId="1" xfId="1" applyNumberFormat="1" applyFill="1" applyBorder="1"/>
    <xf numFmtId="0" fontId="0" fillId="2" borderId="20" xfId="0" applyFill="1" applyBorder="1" applyAlignment="1">
      <alignment horizontal="center"/>
    </xf>
    <xf numFmtId="43" fontId="0" fillId="0" borderId="0" xfId="0" applyNumberFormat="1"/>
    <xf numFmtId="40" fontId="0" fillId="5" borderId="1" xfId="0" applyNumberFormat="1" applyFill="1" applyBorder="1"/>
    <xf numFmtId="168" fontId="18" fillId="0" borderId="13" xfId="0" applyNumberFormat="1" applyFont="1" applyBorder="1"/>
    <xf numFmtId="0" fontId="15" fillId="2" borderId="15" xfId="0" applyFont="1" applyFill="1" applyBorder="1"/>
    <xf numFmtId="0" fontId="12" fillId="2" borderId="15" xfId="0" applyFont="1" applyFill="1" applyBorder="1"/>
    <xf numFmtId="15" fontId="15" fillId="0" borderId="17" xfId="0" applyNumberFormat="1" applyFont="1" applyFill="1" applyBorder="1" applyAlignment="1">
      <alignment horizontal="center"/>
    </xf>
    <xf numFmtId="15" fontId="15" fillId="0" borderId="16" xfId="0" applyNumberFormat="1" applyFont="1" applyFill="1" applyBorder="1" applyAlignment="1">
      <alignment horizontal="center"/>
    </xf>
    <xf numFmtId="40" fontId="0" fillId="6" borderId="1" xfId="0" applyNumberFormat="1" applyFill="1" applyBorder="1"/>
    <xf numFmtId="0" fontId="0" fillId="7" borderId="0" xfId="0" applyFill="1"/>
    <xf numFmtId="0" fontId="10" fillId="7" borderId="0" xfId="0" applyFont="1" applyFill="1" applyAlignment="1">
      <alignment horizontal="center"/>
    </xf>
    <xf numFmtId="4" fontId="0" fillId="7" borderId="0" xfId="0" applyNumberFormat="1" applyFill="1"/>
    <xf numFmtId="164" fontId="0" fillId="7" borderId="0" xfId="0" applyNumberFormat="1" applyFill="1"/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164" fontId="0" fillId="7" borderId="1" xfId="0" applyNumberFormat="1" applyFill="1" applyBorder="1"/>
    <xf numFmtId="2" fontId="0" fillId="7" borderId="1" xfId="0" applyNumberFormat="1" applyFill="1" applyBorder="1"/>
    <xf numFmtId="4" fontId="0" fillId="7" borderId="1" xfId="0" applyNumberFormat="1" applyFill="1" applyBorder="1"/>
    <xf numFmtId="165" fontId="0" fillId="7" borderId="1" xfId="0" applyNumberFormat="1" applyFill="1" applyBorder="1"/>
    <xf numFmtId="10" fontId="0" fillId="7" borderId="26" xfId="3" applyNumberFormat="1" applyFont="1" applyFill="1" applyBorder="1"/>
    <xf numFmtId="165" fontId="0" fillId="7" borderId="0" xfId="0" applyNumberFormat="1" applyFill="1" applyAlignment="1">
      <alignment horizontal="center"/>
    </xf>
    <xf numFmtId="165" fontId="0" fillId="7" borderId="0" xfId="0" applyNumberFormat="1" applyFill="1"/>
    <xf numFmtId="165" fontId="0" fillId="7" borderId="27" xfId="0" applyNumberFormat="1" applyFill="1" applyBorder="1"/>
    <xf numFmtId="164" fontId="8" fillId="7" borderId="1" xfId="0" applyNumberFormat="1" applyFont="1" applyFill="1" applyBorder="1"/>
    <xf numFmtId="4" fontId="12" fillId="7" borderId="1" xfId="0" applyNumberFormat="1" applyFont="1" applyFill="1" applyBorder="1"/>
    <xf numFmtId="164" fontId="8" fillId="7" borderId="28" xfId="0" applyNumberFormat="1" applyFont="1" applyFill="1" applyBorder="1"/>
    <xf numFmtId="2" fontId="8" fillId="7" borderId="28" xfId="0" applyNumberFormat="1" applyFont="1" applyFill="1" applyBorder="1"/>
    <xf numFmtId="4" fontId="8" fillId="7" borderId="28" xfId="0" applyNumberFormat="1" applyFont="1" applyFill="1" applyBorder="1"/>
    <xf numFmtId="10" fontId="8" fillId="7" borderId="29" xfId="3" applyNumberFormat="1" applyFont="1" applyFill="1" applyBorder="1"/>
    <xf numFmtId="0" fontId="8" fillId="7" borderId="0" xfId="0" applyFont="1" applyFill="1"/>
    <xf numFmtId="2" fontId="8" fillId="7" borderId="1" xfId="0" applyNumberFormat="1" applyFont="1" applyFill="1" applyBorder="1"/>
    <xf numFmtId="10" fontId="8" fillId="7" borderId="26" xfId="3" applyNumberFormat="1" applyFont="1" applyFill="1" applyBorder="1"/>
    <xf numFmtId="164" fontId="8" fillId="7" borderId="0" xfId="0" applyNumberFormat="1" applyFont="1" applyFill="1"/>
    <xf numFmtId="10" fontId="8" fillId="7" borderId="0" xfId="3" applyNumberFormat="1" applyFont="1" applyFill="1"/>
    <xf numFmtId="10" fontId="8" fillId="7" borderId="0" xfId="0" applyNumberFormat="1" applyFont="1" applyFill="1"/>
    <xf numFmtId="4" fontId="0" fillId="7" borderId="20" xfId="0" applyNumberFormat="1" applyFill="1" applyBorder="1" applyAlignment="1"/>
    <xf numFmtId="164" fontId="0" fillId="7" borderId="20" xfId="0" applyNumberFormat="1" applyFill="1" applyBorder="1"/>
    <xf numFmtId="165" fontId="0" fillId="7" borderId="20" xfId="0" applyNumberFormat="1" applyFill="1" applyBorder="1"/>
    <xf numFmtId="4" fontId="0" fillId="7" borderId="24" xfId="0" applyNumberFormat="1" applyFill="1" applyBorder="1"/>
    <xf numFmtId="2" fontId="0" fillId="7" borderId="20" xfId="0" applyNumberFormat="1" applyFill="1" applyBorder="1"/>
    <xf numFmtId="4" fontId="0" fillId="7" borderId="20" xfId="0" applyNumberFormat="1" applyFill="1" applyBorder="1"/>
    <xf numFmtId="0" fontId="0" fillId="7" borderId="30" xfId="0" applyFill="1" applyBorder="1" applyAlignment="1">
      <alignment horizontal="center"/>
    </xf>
    <xf numFmtId="3" fontId="0" fillId="7" borderId="31" xfId="0" applyNumberFormat="1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164" fontId="0" fillId="7" borderId="33" xfId="0" applyNumberFormat="1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8" fillId="7" borderId="34" xfId="0" applyFont="1" applyFill="1" applyBorder="1" applyAlignment="1">
      <alignment vertical="center"/>
    </xf>
    <xf numFmtId="0" fontId="0" fillId="7" borderId="0" xfId="0" applyFill="1" applyAlignment="1">
      <alignment horizontal="right"/>
    </xf>
    <xf numFmtId="4" fontId="0" fillId="7" borderId="1" xfId="0" applyNumberFormat="1" applyFill="1" applyBorder="1" applyAlignment="1"/>
    <xf numFmtId="4" fontId="0" fillId="7" borderId="19" xfId="0" applyNumberFormat="1" applyFill="1" applyBorder="1"/>
    <xf numFmtId="4" fontId="0" fillId="7" borderId="11" xfId="0" applyNumberFormat="1" applyFill="1" applyBorder="1"/>
    <xf numFmtId="4" fontId="0" fillId="7" borderId="10" xfId="0" applyNumberFormat="1" applyFill="1" applyBorder="1"/>
    <xf numFmtId="164" fontId="0" fillId="7" borderId="10" xfId="0" applyNumberFormat="1" applyFill="1" applyBorder="1"/>
    <xf numFmtId="168" fontId="8" fillId="7" borderId="28" xfId="1" applyFont="1" applyFill="1" applyBorder="1" applyAlignment="1">
      <alignment horizontal="center"/>
    </xf>
    <xf numFmtId="168" fontId="8" fillId="7" borderId="1" xfId="1" applyFont="1" applyFill="1" applyBorder="1" applyAlignment="1">
      <alignment horizontal="center"/>
    </xf>
    <xf numFmtId="164" fontId="8" fillId="8" borderId="0" xfId="0" applyNumberFormat="1" applyFont="1" applyFill="1" applyBorder="1"/>
    <xf numFmtId="0" fontId="8" fillId="8" borderId="0" xfId="0" applyFont="1" applyFill="1" applyBorder="1"/>
    <xf numFmtId="10" fontId="8" fillId="8" borderId="35" xfId="3" applyNumberFormat="1" applyFont="1" applyFill="1" applyBorder="1"/>
    <xf numFmtId="0" fontId="8" fillId="8" borderId="36" xfId="0" applyFont="1" applyFill="1" applyBorder="1"/>
    <xf numFmtId="10" fontId="8" fillId="7" borderId="1" xfId="3" applyNumberFormat="1" applyFont="1" applyFill="1" applyBorder="1"/>
    <xf numFmtId="4" fontId="8" fillId="7" borderId="37" xfId="0" applyNumberFormat="1" applyFont="1" applyFill="1" applyBorder="1"/>
    <xf numFmtId="40" fontId="4" fillId="7" borderId="0" xfId="0" applyNumberFormat="1" applyFont="1" applyFill="1" applyAlignment="1">
      <alignment horizontal="center"/>
    </xf>
    <xf numFmtId="40" fontId="4" fillId="7" borderId="0" xfId="3" applyNumberFormat="1" applyFont="1" applyFill="1" applyAlignment="1"/>
    <xf numFmtId="40" fontId="4" fillId="7" borderId="0" xfId="0" applyNumberFormat="1" applyFont="1" applyFill="1" applyAlignment="1"/>
    <xf numFmtId="40" fontId="0" fillId="7" borderId="0" xfId="0" applyNumberFormat="1" applyFill="1"/>
    <xf numFmtId="40" fontId="4" fillId="7" borderId="0" xfId="0" applyNumberFormat="1" applyFont="1" applyFill="1"/>
    <xf numFmtId="40" fontId="4" fillId="7" borderId="0" xfId="3" applyNumberFormat="1" applyFont="1" applyFill="1"/>
    <xf numFmtId="40" fontId="4" fillId="7" borderId="1" xfId="0" applyNumberFormat="1" applyFont="1" applyFill="1" applyBorder="1" applyAlignment="1">
      <alignment horizontal="center" vertical="center"/>
    </xf>
    <xf numFmtId="40" fontId="0" fillId="7" borderId="1" xfId="0" applyNumberFormat="1" applyFill="1" applyBorder="1" applyAlignment="1">
      <alignment vertical="center"/>
    </xf>
    <xf numFmtId="40" fontId="4" fillId="7" borderId="38" xfId="0" applyNumberFormat="1" applyFont="1" applyFill="1" applyBorder="1" applyAlignment="1"/>
    <xf numFmtId="40" fontId="4" fillId="7" borderId="39" xfId="0" applyNumberFormat="1" applyFont="1" applyFill="1" applyBorder="1" applyAlignment="1"/>
    <xf numFmtId="40" fontId="0" fillId="7" borderId="1" xfId="0" applyNumberFormat="1" applyFill="1" applyBorder="1"/>
    <xf numFmtId="16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/>
    <xf numFmtId="0" fontId="0" fillId="7" borderId="0" xfId="0" applyFill="1" applyAlignment="1"/>
    <xf numFmtId="40" fontId="8" fillId="7" borderId="1" xfId="0" applyNumberFormat="1" applyFont="1" applyFill="1" applyBorder="1" applyAlignment="1">
      <alignment horizontal="center"/>
    </xf>
    <xf numFmtId="40" fontId="8" fillId="7" borderId="1" xfId="0" applyNumberFormat="1" applyFont="1" applyFill="1" applyBorder="1"/>
    <xf numFmtId="40" fontId="8" fillId="7" borderId="0" xfId="0" applyNumberFormat="1" applyFont="1" applyFill="1"/>
    <xf numFmtId="164" fontId="3" fillId="8" borderId="1" xfId="0" applyNumberFormat="1" applyFont="1" applyFill="1" applyBorder="1" applyAlignment="1"/>
    <xf numFmtId="40" fontId="4" fillId="8" borderId="1" xfId="0" applyNumberFormat="1" applyFont="1" applyFill="1" applyBorder="1" applyAlignment="1">
      <alignment horizontal="center" vertical="center"/>
    </xf>
    <xf numFmtId="40" fontId="0" fillId="7" borderId="0" xfId="0" applyNumberFormat="1" applyFill="1" applyAlignment="1">
      <alignment horizontal="justify" vertical="center"/>
    </xf>
    <xf numFmtId="40" fontId="4" fillId="7" borderId="39" xfId="0" applyNumberFormat="1" applyFont="1" applyFill="1" applyBorder="1" applyAlignment="1">
      <alignment horizontal="center"/>
    </xf>
    <xf numFmtId="40" fontId="4" fillId="7" borderId="19" xfId="0" applyNumberFormat="1" applyFont="1" applyFill="1" applyBorder="1" applyAlignment="1"/>
    <xf numFmtId="40" fontId="4" fillId="7" borderId="1" xfId="0" applyNumberFormat="1" applyFont="1" applyFill="1" applyBorder="1" applyAlignment="1">
      <alignment horizontal="center"/>
    </xf>
    <xf numFmtId="40" fontId="4" fillId="7" borderId="1" xfId="3" applyNumberFormat="1" applyFont="1" applyFill="1" applyBorder="1" applyAlignment="1">
      <alignment horizontal="center"/>
    </xf>
    <xf numFmtId="10" fontId="0" fillId="7" borderId="1" xfId="3" applyNumberFormat="1" applyFont="1" applyFill="1" applyBorder="1"/>
    <xf numFmtId="168" fontId="0" fillId="7" borderId="0" xfId="1" applyFont="1" applyFill="1"/>
    <xf numFmtId="10" fontId="0" fillId="7" borderId="0" xfId="0" applyNumberFormat="1" applyFill="1"/>
    <xf numFmtId="2" fontId="0" fillId="7" borderId="0" xfId="3" applyNumberFormat="1" applyFont="1" applyFill="1"/>
    <xf numFmtId="2" fontId="0" fillId="7" borderId="0" xfId="0" applyNumberFormat="1" applyFill="1"/>
    <xf numFmtId="40" fontId="1" fillId="7" borderId="1" xfId="0" applyNumberFormat="1" applyFont="1" applyFill="1" applyBorder="1"/>
    <xf numFmtId="10" fontId="1" fillId="7" borderId="1" xfId="3" applyNumberFormat="1" applyFont="1" applyFill="1" applyBorder="1"/>
    <xf numFmtId="4" fontId="1" fillId="7" borderId="0" xfId="0" applyNumberFormat="1" applyFont="1" applyFill="1"/>
    <xf numFmtId="2" fontId="1" fillId="7" borderId="0" xfId="3" applyNumberFormat="1" applyFont="1" applyFill="1"/>
    <xf numFmtId="40" fontId="1" fillId="7" borderId="0" xfId="0" applyNumberFormat="1" applyFont="1" applyFill="1"/>
    <xf numFmtId="10" fontId="1" fillId="7" borderId="0" xfId="0" applyNumberFormat="1" applyFont="1" applyFill="1" applyBorder="1"/>
    <xf numFmtId="4" fontId="1" fillId="7" borderId="0" xfId="0" applyNumberFormat="1" applyFont="1" applyFill="1" applyBorder="1"/>
    <xf numFmtId="2" fontId="1" fillId="7" borderId="0" xfId="0" applyNumberFormat="1" applyFont="1" applyFill="1" applyBorder="1"/>
    <xf numFmtId="10" fontId="1" fillId="7" borderId="0" xfId="3" applyNumberFormat="1" applyFont="1" applyFill="1" applyBorder="1"/>
    <xf numFmtId="40" fontId="1" fillId="7" borderId="0" xfId="0" applyNumberFormat="1" applyFont="1" applyFill="1" applyBorder="1"/>
    <xf numFmtId="4" fontId="0" fillId="7" borderId="0" xfId="0" applyNumberFormat="1" applyFill="1" applyBorder="1"/>
    <xf numFmtId="10" fontId="0" fillId="7" borderId="0" xfId="0" applyNumberFormat="1" applyFill="1" applyBorder="1"/>
    <xf numFmtId="10" fontId="0" fillId="7" borderId="0" xfId="3" applyNumberFormat="1" applyFont="1" applyFill="1" applyBorder="1"/>
    <xf numFmtId="40" fontId="0" fillId="7" borderId="0" xfId="0" applyNumberFormat="1" applyFill="1" applyBorder="1"/>
    <xf numFmtId="0" fontId="0" fillId="7" borderId="0" xfId="0" applyFill="1" applyBorder="1" applyAlignment="1"/>
    <xf numFmtId="10" fontId="3" fillId="7" borderId="1" xfId="3" applyNumberFormat="1" applyFont="1" applyFill="1" applyBorder="1" applyAlignment="1"/>
    <xf numFmtId="10" fontId="8" fillId="7" borderId="1" xfId="0" applyNumberFormat="1" applyFont="1" applyFill="1" applyBorder="1" applyAlignment="1"/>
    <xf numFmtId="164" fontId="3" fillId="7" borderId="1" xfId="3" applyNumberFormat="1" applyFont="1" applyFill="1" applyBorder="1" applyAlignment="1"/>
    <xf numFmtId="40" fontId="8" fillId="7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66" fontId="3" fillId="7" borderId="32" xfId="3" applyNumberFormat="1" applyFont="1" applyFill="1" applyBorder="1" applyAlignment="1">
      <alignment horizontal="left"/>
    </xf>
    <xf numFmtId="10" fontId="3" fillId="7" borderId="30" xfId="0" applyNumberFormat="1" applyFont="1" applyFill="1" applyBorder="1"/>
    <xf numFmtId="40" fontId="8" fillId="7" borderId="0" xfId="0" applyNumberFormat="1" applyFont="1" applyFill="1" applyBorder="1"/>
    <xf numFmtId="166" fontId="3" fillId="7" borderId="40" xfId="3" applyNumberFormat="1" applyFont="1" applyFill="1" applyBorder="1" applyAlignment="1">
      <alignment horizontal="left"/>
    </xf>
    <xf numFmtId="0" fontId="0" fillId="7" borderId="1" xfId="0" applyFill="1" applyBorder="1" applyAlignment="1"/>
    <xf numFmtId="40" fontId="0" fillId="7" borderId="1" xfId="0" applyNumberFormat="1" applyFill="1" applyBorder="1" applyAlignment="1"/>
    <xf numFmtId="10" fontId="3" fillId="7" borderId="41" xfId="3" applyNumberFormat="1" applyFont="1" applyFill="1" applyBorder="1" applyAlignment="1">
      <alignment horizontal="left"/>
    </xf>
    <xf numFmtId="0" fontId="0" fillId="7" borderId="26" xfId="0" applyFill="1" applyBorder="1" applyAlignment="1"/>
    <xf numFmtId="0" fontId="0" fillId="7" borderId="30" xfId="0" applyFill="1" applyBorder="1" applyAlignment="1"/>
    <xf numFmtId="40" fontId="0" fillId="7" borderId="30" xfId="0" applyNumberFormat="1" applyFill="1" applyBorder="1" applyAlignment="1"/>
    <xf numFmtId="0" fontId="0" fillId="7" borderId="31" xfId="0" applyFill="1" applyBorder="1" applyAlignment="1"/>
    <xf numFmtId="40" fontId="8" fillId="7" borderId="10" xfId="0" applyNumberFormat="1" applyFont="1" applyFill="1" applyBorder="1" applyAlignment="1">
      <alignment horizontal="center"/>
    </xf>
    <xf numFmtId="40" fontId="8" fillId="7" borderId="10" xfId="0" applyNumberFormat="1" applyFont="1" applyFill="1" applyBorder="1"/>
    <xf numFmtId="10" fontId="8" fillId="7" borderId="10" xfId="3" applyNumberFormat="1" applyFont="1" applyFill="1" applyBorder="1"/>
    <xf numFmtId="10" fontId="1" fillId="7" borderId="1" xfId="3" applyNumberFormat="1" applyFill="1" applyBorder="1"/>
    <xf numFmtId="10" fontId="0" fillId="7" borderId="1" xfId="0" applyNumberFormat="1" applyFill="1" applyBorder="1" applyAlignment="1"/>
    <xf numFmtId="164" fontId="3" fillId="7" borderId="41" xfId="0" applyNumberFormat="1" applyFont="1" applyFill="1" applyBorder="1" applyAlignment="1">
      <alignment horizontal="left"/>
    </xf>
    <xf numFmtId="0" fontId="0" fillId="0" borderId="1" xfId="0" applyBorder="1" applyAlignment="1"/>
    <xf numFmtId="40" fontId="8" fillId="0" borderId="10" xfId="0" applyNumberFormat="1" applyFont="1" applyBorder="1" applyAlignment="1">
      <alignment horizontal="center"/>
    </xf>
    <xf numFmtId="40" fontId="8" fillId="0" borderId="10" xfId="0" applyNumberFormat="1" applyFont="1" applyBorder="1"/>
    <xf numFmtId="0" fontId="0" fillId="0" borderId="26" xfId="0" applyBorder="1" applyAlignment="1"/>
    <xf numFmtId="164" fontId="3" fillId="0" borderId="30" xfId="3" applyNumberFormat="1" applyFont="1" applyBorder="1" applyAlignment="1"/>
    <xf numFmtId="0" fontId="0" fillId="0" borderId="30" xfId="0" applyBorder="1" applyAlignment="1"/>
    <xf numFmtId="0" fontId="0" fillId="0" borderId="31" xfId="0" applyBorder="1" applyAlignment="1"/>
    <xf numFmtId="164" fontId="3" fillId="0" borderId="10" xfId="3" applyNumberFormat="1" applyFont="1" applyBorder="1" applyAlignment="1"/>
    <xf numFmtId="0" fontId="0" fillId="0" borderId="10" xfId="0" applyBorder="1" applyAlignment="1"/>
    <xf numFmtId="0" fontId="0" fillId="0" borderId="42" xfId="0" applyBorder="1" applyAlignment="1"/>
    <xf numFmtId="10" fontId="3" fillId="7" borderId="41" xfId="3" applyNumberFormat="1" applyFont="1" applyFill="1" applyBorder="1" applyAlignment="1">
      <alignment horizontal="center"/>
    </xf>
    <xf numFmtId="168" fontId="17" fillId="0" borderId="11" xfId="1" applyFont="1" applyBorder="1"/>
    <xf numFmtId="168" fontId="17" fillId="0" borderId="10" xfId="1" applyFont="1" applyBorder="1"/>
    <xf numFmtId="168" fontId="17" fillId="0" borderId="10" xfId="0" applyNumberFormat="1" applyFont="1" applyBorder="1"/>
    <xf numFmtId="0" fontId="0" fillId="0" borderId="9" xfId="0" applyBorder="1"/>
    <xf numFmtId="168" fontId="19" fillId="9" borderId="25" xfId="1" applyFont="1" applyFill="1" applyBorder="1"/>
    <xf numFmtId="10" fontId="0" fillId="0" borderId="9" xfId="0" applyNumberFormat="1" applyBorder="1"/>
    <xf numFmtId="10" fontId="19" fillId="9" borderId="25" xfId="3" applyNumberFormat="1" applyFont="1" applyFill="1" applyBorder="1" applyAlignment="1">
      <alignment horizontal="center"/>
    </xf>
    <xf numFmtId="4" fontId="7" fillId="10" borderId="20" xfId="0" applyNumberFormat="1" applyFont="1" applyFill="1" applyBorder="1"/>
    <xf numFmtId="164" fontId="7" fillId="10" borderId="20" xfId="0" applyNumberFormat="1" applyFont="1" applyFill="1" applyBorder="1"/>
    <xf numFmtId="1" fontId="0" fillId="0" borderId="9" xfId="0" applyNumberFormat="1" applyBorder="1"/>
    <xf numFmtId="0" fontId="0" fillId="2" borderId="43" xfId="0" applyFill="1" applyBorder="1"/>
    <xf numFmtId="0" fontId="0" fillId="2" borderId="44" xfId="0" applyFill="1" applyBorder="1" applyAlignment="1">
      <alignment horizontal="center"/>
    </xf>
    <xf numFmtId="0" fontId="8" fillId="2" borderId="7" xfId="0" applyFont="1" applyFill="1" applyBorder="1"/>
    <xf numFmtId="0" fontId="0" fillId="2" borderId="45" xfId="0" applyFill="1" applyBorder="1" applyAlignment="1">
      <alignment horizontal="center"/>
    </xf>
    <xf numFmtId="0" fontId="8" fillId="0" borderId="46" xfId="0" applyFont="1" applyBorder="1"/>
    <xf numFmtId="0" fontId="0" fillId="0" borderId="47" xfId="0" applyBorder="1"/>
    <xf numFmtId="0" fontId="8" fillId="0" borderId="7" xfId="0" applyFont="1" applyBorder="1"/>
    <xf numFmtId="0" fontId="0" fillId="0" borderId="48" xfId="0" applyBorder="1"/>
    <xf numFmtId="164" fontId="0" fillId="0" borderId="48" xfId="0" applyNumberFormat="1" applyFill="1" applyBorder="1"/>
    <xf numFmtId="0" fontId="8" fillId="0" borderId="14" xfId="0" applyFont="1" applyBorder="1"/>
    <xf numFmtId="0" fontId="0" fillId="0" borderId="15" xfId="0" applyBorder="1"/>
    <xf numFmtId="168" fontId="18" fillId="0" borderId="16" xfId="1" applyFont="1" applyBorder="1"/>
    <xf numFmtId="10" fontId="8" fillId="0" borderId="49" xfId="3" applyNumberFormat="1" applyFont="1" applyBorder="1" applyAlignment="1">
      <alignment horizontal="center"/>
    </xf>
    <xf numFmtId="1" fontId="0" fillId="0" borderId="17" xfId="0" applyNumberFormat="1" applyBorder="1"/>
    <xf numFmtId="4" fontId="0" fillId="0" borderId="49" xfId="3" applyNumberFormat="1" applyFont="1" applyBorder="1"/>
    <xf numFmtId="4" fontId="0" fillId="0" borderId="17" xfId="3" applyNumberFormat="1" applyFont="1" applyBorder="1"/>
    <xf numFmtId="164" fontId="0" fillId="0" borderId="50" xfId="0" applyNumberFormat="1" applyFill="1" applyBorder="1"/>
    <xf numFmtId="15" fontId="0" fillId="0" borderId="0" xfId="0" applyNumberFormat="1" applyBorder="1"/>
    <xf numFmtId="168" fontId="20" fillId="9" borderId="20" xfId="1" applyNumberFormat="1" applyFont="1" applyFill="1" applyBorder="1"/>
    <xf numFmtId="168" fontId="20" fillId="9" borderId="20" xfId="1" applyFont="1" applyFill="1" applyBorder="1"/>
    <xf numFmtId="0" fontId="8" fillId="0" borderId="51" xfId="0" applyFont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15" fontId="0" fillId="2" borderId="52" xfId="0" applyNumberFormat="1" applyFill="1" applyBorder="1"/>
    <xf numFmtId="168" fontId="0" fillId="2" borderId="45" xfId="0" applyNumberFormat="1" applyFill="1" applyBorder="1"/>
    <xf numFmtId="15" fontId="0" fillId="3" borderId="53" xfId="0" applyNumberFormat="1" applyFill="1" applyBorder="1"/>
    <xf numFmtId="15" fontId="0" fillId="3" borderId="17" xfId="0" applyNumberFormat="1" applyFill="1" applyBorder="1"/>
    <xf numFmtId="168" fontId="1" fillId="3" borderId="17" xfId="1" applyNumberFormat="1" applyFill="1" applyBorder="1"/>
    <xf numFmtId="168" fontId="0" fillId="2" borderId="54" xfId="0" applyNumberFormat="1" applyFill="1" applyBorder="1"/>
    <xf numFmtId="2" fontId="8" fillId="0" borderId="55" xfId="0" applyNumberFormat="1" applyFont="1" applyBorder="1" applyAlignment="1">
      <alignment horizontal="center"/>
    </xf>
    <xf numFmtId="0" fontId="0" fillId="0" borderId="16" xfId="0" applyBorder="1"/>
    <xf numFmtId="0" fontId="0" fillId="4" borderId="43" xfId="0" applyFill="1" applyBorder="1"/>
    <xf numFmtId="1" fontId="0" fillId="0" borderId="48" xfId="0" applyNumberFormat="1" applyBorder="1"/>
    <xf numFmtId="0" fontId="8" fillId="0" borderId="15" xfId="0" applyFont="1" applyBorder="1" applyAlignment="1">
      <alignment horizontal="right"/>
    </xf>
    <xf numFmtId="168" fontId="1" fillId="3" borderId="17" xfId="1" applyFill="1" applyBorder="1"/>
    <xf numFmtId="10" fontId="0" fillId="4" borderId="43" xfId="0" applyNumberFormat="1" applyFill="1" applyBorder="1"/>
    <xf numFmtId="0" fontId="8" fillId="2" borderId="56" xfId="0" applyFont="1" applyFill="1" applyBorder="1"/>
    <xf numFmtId="10" fontId="0" fillId="0" borderId="15" xfId="3" applyNumberFormat="1" applyFont="1" applyBorder="1"/>
    <xf numFmtId="170" fontId="20" fillId="9" borderId="20" xfId="1" applyNumberFormat="1" applyFont="1" applyFill="1" applyBorder="1"/>
    <xf numFmtId="170" fontId="0" fillId="2" borderId="45" xfId="0" applyNumberFormat="1" applyFill="1" applyBorder="1"/>
    <xf numFmtId="170" fontId="1" fillId="3" borderId="17" xfId="1" applyNumberFormat="1" applyFill="1" applyBorder="1"/>
    <xf numFmtId="170" fontId="0" fillId="2" borderId="54" xfId="0" applyNumberFormat="1" applyFill="1" applyBorder="1"/>
    <xf numFmtId="0" fontId="0" fillId="7" borderId="1" xfId="0" applyNumberFormat="1" applyFill="1" applyBorder="1"/>
    <xf numFmtId="0" fontId="1" fillId="7" borderId="1" xfId="0" applyNumberFormat="1" applyFont="1" applyFill="1" applyBorder="1"/>
    <xf numFmtId="0" fontId="0" fillId="0" borderId="1" xfId="0" applyNumberFormat="1" applyBorder="1"/>
    <xf numFmtId="0" fontId="22" fillId="13" borderId="19" xfId="0" applyFont="1" applyFill="1" applyBorder="1"/>
    <xf numFmtId="0" fontId="22" fillId="13" borderId="1" xfId="0" applyFont="1" applyFill="1" applyBorder="1"/>
    <xf numFmtId="0" fontId="22" fillId="13" borderId="1" xfId="0" applyFont="1" applyFill="1" applyBorder="1" applyAlignment="1">
      <alignment horizontal="justify"/>
    </xf>
    <xf numFmtId="0" fontId="22" fillId="13" borderId="1" xfId="0" applyFont="1" applyFill="1" applyBorder="1" applyAlignment="1">
      <alignment horizontal="center"/>
    </xf>
    <xf numFmtId="0" fontId="22" fillId="13" borderId="26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/>
    <xf numFmtId="2" fontId="0" fillId="0" borderId="38" xfId="0" applyNumberFormat="1" applyBorder="1"/>
    <xf numFmtId="0" fontId="0" fillId="5" borderId="41" xfId="0" applyFill="1" applyBorder="1"/>
    <xf numFmtId="0" fontId="0" fillId="5" borderId="1" xfId="0" applyFill="1" applyBorder="1"/>
    <xf numFmtId="1" fontId="0" fillId="5" borderId="1" xfId="0" applyNumberFormat="1" applyFill="1" applyBorder="1" applyAlignment="1">
      <alignment horizontal="right"/>
    </xf>
    <xf numFmtId="0" fontId="0" fillId="5" borderId="26" xfId="0" applyFill="1" applyBorder="1"/>
    <xf numFmtId="0" fontId="0" fillId="11" borderId="41" xfId="0" applyFill="1" applyBorder="1"/>
    <xf numFmtId="0" fontId="0" fillId="11" borderId="1" xfId="0" applyFill="1" applyBorder="1"/>
    <xf numFmtId="173" fontId="0" fillId="14" borderId="1" xfId="0" applyNumberFormat="1" applyFill="1" applyBorder="1"/>
    <xf numFmtId="174" fontId="0" fillId="11" borderId="1" xfId="0" applyNumberFormat="1" applyFill="1" applyBorder="1"/>
    <xf numFmtId="8" fontId="0" fillId="11" borderId="1" xfId="0" applyNumberFormat="1" applyFill="1" applyBorder="1"/>
    <xf numFmtId="0" fontId="0" fillId="11" borderId="38" xfId="0" applyFill="1" applyBorder="1"/>
    <xf numFmtId="0" fontId="0" fillId="12" borderId="41" xfId="0" applyFill="1" applyBorder="1"/>
    <xf numFmtId="0" fontId="0" fillId="12" borderId="1" xfId="0" applyFill="1" applyBorder="1"/>
    <xf numFmtId="2" fontId="0" fillId="12" borderId="1" xfId="0" applyNumberFormat="1" applyFill="1" applyBorder="1"/>
    <xf numFmtId="2" fontId="0" fillId="15" borderId="1" xfId="0" applyNumberFormat="1" applyFill="1" applyBorder="1"/>
    <xf numFmtId="0" fontId="0" fillId="0" borderId="19" xfId="0" applyFill="1" applyBorder="1"/>
    <xf numFmtId="0" fontId="0" fillId="0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15" borderId="1" xfId="0" applyFill="1" applyBorder="1"/>
    <xf numFmtId="2" fontId="0" fillId="0" borderId="38" xfId="0" applyNumberFormat="1" applyFill="1" applyBorder="1"/>
    <xf numFmtId="0" fontId="0" fillId="0" borderId="1" xfId="0" applyBorder="1"/>
    <xf numFmtId="3" fontId="1" fillId="5" borderId="1" xfId="0" applyNumberFormat="1" applyFont="1" applyFill="1" applyBorder="1"/>
    <xf numFmtId="173" fontId="1" fillId="11" borderId="1" xfId="0" applyNumberFormat="1" applyFont="1" applyFill="1" applyBorder="1"/>
    <xf numFmtId="0" fontId="0" fillId="13" borderId="33" xfId="0" applyFill="1" applyBorder="1"/>
    <xf numFmtId="0" fontId="0" fillId="13" borderId="30" xfId="0" applyFill="1" applyBorder="1"/>
    <xf numFmtId="0" fontId="0" fillId="13" borderId="31" xfId="0" applyFill="1" applyBorder="1"/>
    <xf numFmtId="0" fontId="20" fillId="10" borderId="57" xfId="0" applyFont="1" applyFill="1" applyBorder="1" applyProtection="1"/>
    <xf numFmtId="0" fontId="8" fillId="5" borderId="28" xfId="0" applyFont="1" applyFill="1" applyBorder="1" applyProtection="1"/>
    <xf numFmtId="0" fontId="8" fillId="6" borderId="58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0" borderId="41" xfId="0" applyFont="1" applyBorder="1" applyProtection="1"/>
    <xf numFmtId="44" fontId="12" fillId="5" borderId="1" xfId="2" applyFont="1" applyFill="1" applyBorder="1" applyAlignment="1" applyProtection="1">
      <alignment horizontal="center"/>
    </xf>
    <xf numFmtId="175" fontId="12" fillId="6" borderId="26" xfId="2" applyNumberFormat="1" applyFont="1" applyFill="1" applyBorder="1" applyAlignment="1" applyProtection="1">
      <alignment horizontal="center"/>
    </xf>
    <xf numFmtId="44" fontId="12" fillId="0" borderId="0" xfId="2" applyFont="1" applyFill="1" applyBorder="1" applyAlignment="1" applyProtection="1">
      <alignment horizontal="center"/>
    </xf>
    <xf numFmtId="0" fontId="8" fillId="0" borderId="41" xfId="0" applyFont="1" applyFill="1" applyBorder="1" applyProtection="1"/>
    <xf numFmtId="0" fontId="8" fillId="0" borderId="32" xfId="0" applyFont="1" applyFill="1" applyBorder="1" applyProtection="1"/>
    <xf numFmtId="44" fontId="12" fillId="5" borderId="30" xfId="2" applyFont="1" applyFill="1" applyBorder="1" applyAlignment="1" applyProtection="1">
      <alignment horizontal="center"/>
    </xf>
    <xf numFmtId="175" fontId="12" fillId="6" borderId="31" xfId="2" applyNumberFormat="1" applyFont="1" applyFill="1" applyBorder="1" applyAlignment="1" applyProtection="1">
      <alignment horizontal="center"/>
    </xf>
    <xf numFmtId="0" fontId="8" fillId="0" borderId="59" xfId="0" applyFont="1" applyFill="1" applyBorder="1" applyAlignment="1" applyProtection="1">
      <alignment horizontal="center" vertical="center" wrapText="1"/>
    </xf>
    <xf numFmtId="44" fontId="12" fillId="0" borderId="0" xfId="2" applyFont="1" applyFill="1" applyBorder="1" applyAlignment="1" applyProtection="1">
      <alignment horizontal="right"/>
    </xf>
    <xf numFmtId="174" fontId="12" fillId="0" borderId="0" xfId="2" applyNumberFormat="1" applyFont="1" applyFill="1" applyBorder="1" applyAlignment="1" applyProtection="1">
      <alignment horizontal="center"/>
    </xf>
    <xf numFmtId="0" fontId="0" fillId="0" borderId="0" xfId="0" applyFill="1"/>
    <xf numFmtId="4" fontId="0" fillId="12" borderId="1" xfId="0" applyNumberFormat="1" applyFill="1" applyBorder="1"/>
    <xf numFmtId="0" fontId="20" fillId="10" borderId="60" xfId="0" applyFont="1" applyFill="1" applyBorder="1" applyProtection="1"/>
    <xf numFmtId="171" fontId="23" fillId="6" borderId="61" xfId="0" applyNumberFormat="1" applyFont="1" applyFill="1" applyBorder="1" applyAlignment="1">
      <alignment horizontal="center"/>
    </xf>
    <xf numFmtId="10" fontId="8" fillId="0" borderId="1" xfId="0" applyNumberFormat="1" applyFont="1" applyBorder="1" applyAlignment="1"/>
    <xf numFmtId="164" fontId="8" fillId="0" borderId="10" xfId="0" applyNumberFormat="1" applyFont="1" applyBorder="1" applyAlignment="1"/>
    <xf numFmtId="164" fontId="8" fillId="0" borderId="30" xfId="0" applyNumberFormat="1" applyFont="1" applyBorder="1" applyAlignment="1"/>
    <xf numFmtId="40" fontId="3" fillId="7" borderId="39" xfId="0" applyNumberFormat="1" applyFont="1" applyFill="1" applyBorder="1" applyAlignment="1">
      <alignment horizontal="center"/>
    </xf>
    <xf numFmtId="4" fontId="9" fillId="7" borderId="0" xfId="0" applyNumberFormat="1" applyFont="1" applyFill="1" applyAlignment="1"/>
    <xf numFmtId="4" fontId="10" fillId="7" borderId="0" xfId="0" applyNumberFormat="1" applyFont="1" applyFill="1" applyAlignment="1"/>
    <xf numFmtId="4" fontId="11" fillId="7" borderId="0" xfId="0" applyNumberFormat="1" applyFont="1" applyFill="1" applyAlignment="1"/>
    <xf numFmtId="0" fontId="8" fillId="7" borderId="0" xfId="0" applyFont="1" applyFill="1" applyAlignment="1"/>
    <xf numFmtId="0" fontId="8" fillId="7" borderId="36" xfId="0" applyFont="1" applyFill="1" applyBorder="1"/>
    <xf numFmtId="164" fontId="8" fillId="7" borderId="0" xfId="0" applyNumberFormat="1" applyFont="1" applyFill="1" applyBorder="1"/>
    <xf numFmtId="0" fontId="8" fillId="7" borderId="0" xfId="0" applyFont="1" applyFill="1" applyBorder="1"/>
    <xf numFmtId="10" fontId="8" fillId="7" borderId="35" xfId="3" applyNumberFormat="1" applyFont="1" applyFill="1" applyBorder="1"/>
    <xf numFmtId="0" fontId="8" fillId="7" borderId="62" xfId="0" applyFont="1" applyFill="1" applyBorder="1"/>
    <xf numFmtId="164" fontId="8" fillId="7" borderId="27" xfId="0" applyNumberFormat="1" applyFont="1" applyFill="1" applyBorder="1"/>
    <xf numFmtId="0" fontId="8" fillId="7" borderId="27" xfId="0" applyFont="1" applyFill="1" applyBorder="1"/>
    <xf numFmtId="10" fontId="8" fillId="7" borderId="63" xfId="3" applyNumberFormat="1" applyFont="1" applyFill="1" applyBorder="1"/>
    <xf numFmtId="0" fontId="8" fillId="7" borderId="4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justify" vertical="center"/>
    </xf>
    <xf numFmtId="0" fontId="3" fillId="7" borderId="41" xfId="0" applyFont="1" applyFill="1" applyBorder="1" applyAlignment="1">
      <alignment horizontal="justify" vertical="center"/>
    </xf>
    <xf numFmtId="164" fontId="3" fillId="7" borderId="26" xfId="0" applyNumberFormat="1" applyFont="1" applyFill="1" applyBorder="1" applyAlignment="1">
      <alignment horizontal="justify" vertical="center"/>
    </xf>
    <xf numFmtId="0" fontId="8" fillId="0" borderId="26" xfId="0" applyFont="1" applyBorder="1" applyAlignment="1">
      <alignment vertical="center" wrapText="1"/>
    </xf>
    <xf numFmtId="164" fontId="8" fillId="7" borderId="10" xfId="0" applyNumberFormat="1" applyFont="1" applyFill="1" applyBorder="1"/>
    <xf numFmtId="2" fontId="8" fillId="7" borderId="10" xfId="0" applyNumberFormat="1" applyFont="1" applyFill="1" applyBorder="1"/>
    <xf numFmtId="0" fontId="8" fillId="7" borderId="37" xfId="0" applyNumberFormat="1" applyFont="1" applyFill="1" applyBorder="1"/>
    <xf numFmtId="10" fontId="8" fillId="7" borderId="42" xfId="3" applyNumberFormat="1" applyFont="1" applyFill="1" applyBorder="1"/>
    <xf numFmtId="0" fontId="8" fillId="7" borderId="64" xfId="0" applyNumberFormat="1" applyFont="1" applyFill="1" applyBorder="1" applyAlignment="1">
      <alignment horizontal="center"/>
    </xf>
    <xf numFmtId="164" fontId="8" fillId="7" borderId="65" xfId="0" applyNumberFormat="1" applyFont="1" applyFill="1" applyBorder="1"/>
    <xf numFmtId="165" fontId="8" fillId="7" borderId="65" xfId="0" applyNumberFormat="1" applyFont="1" applyFill="1" applyBorder="1"/>
    <xf numFmtId="4" fontId="8" fillId="7" borderId="65" xfId="0" applyNumberFormat="1" applyFont="1" applyFill="1" applyBorder="1"/>
    <xf numFmtId="2" fontId="8" fillId="7" borderId="65" xfId="0" applyNumberFormat="1" applyFont="1" applyFill="1" applyBorder="1"/>
    <xf numFmtId="0" fontId="8" fillId="7" borderId="65" xfId="0" applyNumberFormat="1" applyFont="1" applyFill="1" applyBorder="1"/>
    <xf numFmtId="10" fontId="8" fillId="7" borderId="66" xfId="3" applyNumberFormat="1" applyFont="1" applyFill="1" applyBorder="1"/>
    <xf numFmtId="0" fontId="0" fillId="7" borderId="67" xfId="0" applyNumberFormat="1" applyFill="1" applyBorder="1" applyAlignment="1">
      <alignment horizontal="center"/>
    </xf>
    <xf numFmtId="0" fontId="8" fillId="7" borderId="68" xfId="0" applyNumberFormat="1" applyFont="1" applyFill="1" applyBorder="1" applyAlignment="1">
      <alignment horizontal="center"/>
    </xf>
    <xf numFmtId="0" fontId="8" fillId="7" borderId="67" xfId="0" applyNumberFormat="1" applyFont="1" applyFill="1" applyBorder="1" applyAlignment="1">
      <alignment horizontal="center"/>
    </xf>
    <xf numFmtId="0" fontId="8" fillId="7" borderId="69" xfId="0" applyNumberFormat="1" applyFont="1" applyFill="1" applyBorder="1" applyAlignment="1">
      <alignment horizontal="center"/>
    </xf>
    <xf numFmtId="0" fontId="3" fillId="7" borderId="19" xfId="0" applyFont="1" applyFill="1" applyBorder="1" applyAlignment="1">
      <alignment horizontal="justify" vertical="center"/>
    </xf>
    <xf numFmtId="0" fontId="0" fillId="7" borderId="33" xfId="0" applyFill="1" applyBorder="1" applyAlignment="1">
      <alignment horizontal="center"/>
    </xf>
    <xf numFmtId="4" fontId="8" fillId="7" borderId="70" xfId="0" applyNumberFormat="1" applyFont="1" applyFill="1" applyBorder="1"/>
    <xf numFmtId="4" fontId="8" fillId="7" borderId="19" xfId="0" applyNumberFormat="1" applyFont="1" applyFill="1" applyBorder="1"/>
    <xf numFmtId="4" fontId="8" fillId="7" borderId="11" xfId="0" applyNumberFormat="1" applyFont="1" applyFill="1" applyBorder="1"/>
    <xf numFmtId="4" fontId="0" fillId="7" borderId="71" xfId="0" applyNumberFormat="1" applyFill="1" applyBorder="1" applyAlignment="1"/>
    <xf numFmtId="164" fontId="0" fillId="7" borderId="72" xfId="0" applyNumberFormat="1" applyFill="1" applyBorder="1"/>
    <xf numFmtId="4" fontId="0" fillId="7" borderId="41" xfId="0" applyNumberFormat="1" applyFill="1" applyBorder="1" applyAlignment="1"/>
    <xf numFmtId="164" fontId="0" fillId="7" borderId="26" xfId="0" applyNumberFormat="1" applyFill="1" applyBorder="1"/>
    <xf numFmtId="164" fontId="8" fillId="7" borderId="29" xfId="0" applyNumberFormat="1" applyFont="1" applyFill="1" applyBorder="1"/>
    <xf numFmtId="164" fontId="8" fillId="7" borderId="26" xfId="0" applyNumberFormat="1" applyFont="1" applyFill="1" applyBorder="1"/>
    <xf numFmtId="164" fontId="8" fillId="7" borderId="42" xfId="0" applyNumberFormat="1" applyFont="1" applyFill="1" applyBorder="1"/>
    <xf numFmtId="164" fontId="8" fillId="7" borderId="64" xfId="0" applyNumberFormat="1" applyFont="1" applyFill="1" applyBorder="1"/>
    <xf numFmtId="164" fontId="8" fillId="7" borderId="66" xfId="0" applyNumberFormat="1" applyFont="1" applyFill="1" applyBorder="1"/>
    <xf numFmtId="164" fontId="8" fillId="7" borderId="36" xfId="0" applyNumberFormat="1" applyFont="1" applyFill="1" applyBorder="1"/>
    <xf numFmtId="0" fontId="8" fillId="7" borderId="35" xfId="0" applyFont="1" applyFill="1" applyBorder="1"/>
    <xf numFmtId="164" fontId="8" fillId="8" borderId="36" xfId="0" applyNumberFormat="1" applyFont="1" applyFill="1" applyBorder="1"/>
    <xf numFmtId="0" fontId="8" fillId="8" borderId="35" xfId="0" applyFont="1" applyFill="1" applyBorder="1"/>
    <xf numFmtId="164" fontId="8" fillId="7" borderId="62" xfId="0" applyNumberFormat="1" applyFont="1" applyFill="1" applyBorder="1"/>
    <xf numFmtId="0" fontId="8" fillId="7" borderId="63" xfId="0" applyFont="1" applyFill="1" applyBorder="1"/>
    <xf numFmtId="16" fontId="3" fillId="7" borderId="41" xfId="0" applyNumberFormat="1" applyFont="1" applyFill="1" applyBorder="1" applyAlignment="1">
      <alignment horizontal="center"/>
    </xf>
    <xf numFmtId="166" fontId="3" fillId="7" borderId="41" xfId="3" applyNumberFormat="1" applyFont="1" applyFill="1" applyBorder="1" applyAlignment="1">
      <alignment horizontal="center"/>
    </xf>
    <xf numFmtId="166" fontId="3" fillId="7" borderId="32" xfId="3" applyNumberFormat="1" applyFont="1" applyFill="1" applyBorder="1" applyAlignment="1">
      <alignment horizontal="center"/>
    </xf>
    <xf numFmtId="10" fontId="3" fillId="7" borderId="1" xfId="3" applyNumberFormat="1" applyFont="1" applyFill="1" applyBorder="1" applyAlignment="1">
      <alignment horizontal="center"/>
    </xf>
    <xf numFmtId="166" fontId="3" fillId="7" borderId="1" xfId="3" applyNumberFormat="1" applyFont="1" applyFill="1" applyBorder="1" applyAlignment="1">
      <alignment horizontal="center"/>
    </xf>
    <xf numFmtId="164" fontId="0" fillId="7" borderId="1" xfId="0" applyNumberFormat="1" applyFill="1" applyBorder="1" applyAlignment="1"/>
    <xf numFmtId="166" fontId="3" fillId="7" borderId="0" xfId="3" applyNumberFormat="1" applyFont="1" applyFill="1" applyBorder="1" applyAlignment="1">
      <alignment horizontal="center"/>
    </xf>
    <xf numFmtId="10" fontId="3" fillId="7" borderId="0" xfId="0" applyNumberFormat="1" applyFont="1" applyFill="1" applyBorder="1"/>
    <xf numFmtId="40" fontId="0" fillId="7" borderId="0" xfId="0" applyNumberFormat="1" applyFill="1" applyBorder="1" applyAlignment="1"/>
    <xf numFmtId="164" fontId="8" fillId="7" borderId="1" xfId="0" applyNumberFormat="1" applyFont="1" applyFill="1" applyBorder="1" applyAlignment="1"/>
    <xf numFmtId="16" fontId="3" fillId="7" borderId="57" xfId="0" applyNumberFormat="1" applyFont="1" applyFill="1" applyBorder="1" applyAlignment="1">
      <alignment horizontal="center"/>
    </xf>
    <xf numFmtId="164" fontId="3" fillId="7" borderId="28" xfId="0" applyNumberFormat="1" applyFont="1" applyFill="1" applyBorder="1" applyAlignment="1"/>
    <xf numFmtId="10" fontId="8" fillId="7" borderId="28" xfId="3" applyNumberFormat="1" applyFont="1" applyFill="1" applyBorder="1"/>
    <xf numFmtId="40" fontId="3" fillId="7" borderId="1" xfId="0" applyNumberFormat="1" applyFont="1" applyFill="1" applyBorder="1" applyAlignment="1">
      <alignment horizontal="center" vertical="center"/>
    </xf>
    <xf numFmtId="40" fontId="3" fillId="8" borderId="1" xfId="0" applyNumberFormat="1" applyFont="1" applyFill="1" applyBorder="1" applyAlignment="1">
      <alignment horizontal="center" vertical="center"/>
    </xf>
    <xf numFmtId="40" fontId="3" fillId="2" borderId="1" xfId="0" applyNumberFormat="1" applyFont="1" applyFill="1" applyBorder="1" applyAlignment="1">
      <alignment horizontal="justify" vertical="center"/>
    </xf>
    <xf numFmtId="40" fontId="3" fillId="7" borderId="1" xfId="0" applyNumberFormat="1" applyFont="1" applyFill="1" applyBorder="1" applyAlignment="1">
      <alignment horizontal="center"/>
    </xf>
    <xf numFmtId="40" fontId="3" fillId="7" borderId="1" xfId="3" applyNumberFormat="1" applyFont="1" applyFill="1" applyBorder="1" applyAlignment="1">
      <alignment horizontal="center"/>
    </xf>
    <xf numFmtId="40" fontId="3" fillId="0" borderId="1" xfId="0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/>
    </xf>
    <xf numFmtId="164" fontId="3" fillId="7" borderId="57" xfId="0" applyNumberFormat="1" applyFont="1" applyFill="1" applyBorder="1" applyAlignment="1">
      <alignment horizontal="left"/>
    </xf>
    <xf numFmtId="164" fontId="3" fillId="0" borderId="28" xfId="0" applyNumberFormat="1" applyFont="1" applyBorder="1" applyAlignment="1"/>
    <xf numFmtId="10" fontId="8" fillId="0" borderId="28" xfId="3" applyNumberFormat="1" applyFont="1" applyBorder="1"/>
    <xf numFmtId="0" fontId="0" fillId="0" borderId="29" xfId="0" applyBorder="1" applyAlignment="1"/>
    <xf numFmtId="0" fontId="0" fillId="7" borderId="10" xfId="0" applyNumberFormat="1" applyFill="1" applyBorder="1"/>
    <xf numFmtId="40" fontId="0" fillId="7" borderId="10" xfId="0" applyNumberFormat="1" applyFill="1" applyBorder="1"/>
    <xf numFmtId="0" fontId="0" fillId="16" borderId="1" xfId="0" applyFill="1" applyBorder="1" applyAlignment="1">
      <alignment horizontal="center"/>
    </xf>
    <xf numFmtId="0" fontId="22" fillId="16" borderId="1" xfId="0" applyFont="1" applyFill="1" applyBorder="1" applyAlignment="1">
      <alignment horizontal="center"/>
    </xf>
    <xf numFmtId="0" fontId="0" fillId="16" borderId="1" xfId="0" applyFill="1" applyBorder="1"/>
    <xf numFmtId="0" fontId="8" fillId="2" borderId="73" xfId="0" applyNumberFormat="1" applyFont="1" applyFill="1" applyBorder="1" applyAlignment="1">
      <alignment horizontal="center"/>
    </xf>
    <xf numFmtId="40" fontId="8" fillId="2" borderId="74" xfId="0" applyNumberFormat="1" applyFont="1" applyFill="1" applyBorder="1"/>
    <xf numFmtId="40" fontId="8" fillId="2" borderId="75" xfId="0" applyNumberFormat="1" applyFont="1" applyFill="1" applyBorder="1"/>
    <xf numFmtId="4" fontId="8" fillId="7" borderId="57" xfId="0" applyNumberFormat="1" applyFont="1" applyFill="1" applyBorder="1"/>
    <xf numFmtId="4" fontId="8" fillId="7" borderId="41" xfId="0" applyNumberFormat="1" applyFont="1" applyFill="1" applyBorder="1"/>
    <xf numFmtId="4" fontId="8" fillId="7" borderId="1" xfId="0" applyNumberFormat="1" applyFont="1" applyFill="1" applyBorder="1"/>
    <xf numFmtId="4" fontId="8" fillId="7" borderId="40" xfId="0" applyNumberFormat="1" applyFont="1" applyFill="1" applyBorder="1"/>
    <xf numFmtId="4" fontId="8" fillId="7" borderId="10" xfId="0" applyNumberFormat="1" applyFont="1" applyFill="1" applyBorder="1"/>
    <xf numFmtId="4" fontId="8" fillId="7" borderId="13" xfId="0" applyNumberFormat="1" applyFont="1" applyFill="1" applyBorder="1"/>
    <xf numFmtId="0" fontId="8" fillId="7" borderId="13" xfId="0" applyNumberFormat="1" applyFont="1" applyFill="1" applyBorder="1"/>
    <xf numFmtId="0" fontId="8" fillId="7" borderId="1" xfId="0" applyNumberFormat="1" applyFont="1" applyFill="1" applyBorder="1"/>
    <xf numFmtId="10" fontId="3" fillId="7" borderId="32" xfId="3" applyNumberFormat="1" applyFont="1" applyFill="1" applyBorder="1" applyAlignment="1">
      <alignment horizontal="center"/>
    </xf>
    <xf numFmtId="10" fontId="3" fillId="7" borderId="30" xfId="3" applyNumberFormat="1" applyFont="1" applyFill="1" applyBorder="1" applyAlignment="1"/>
    <xf numFmtId="10" fontId="0" fillId="7" borderId="30" xfId="0" applyNumberFormat="1" applyFill="1" applyBorder="1"/>
    <xf numFmtId="10" fontId="0" fillId="7" borderId="31" xfId="0" applyNumberFormat="1" applyFill="1" applyBorder="1"/>
    <xf numFmtId="10" fontId="0" fillId="7" borderId="0" xfId="0" applyNumberFormat="1" applyFill="1" applyAlignment="1"/>
    <xf numFmtId="10" fontId="8" fillId="0" borderId="76" xfId="3" applyNumberFormat="1" applyFont="1" applyBorder="1" applyAlignment="1">
      <alignment horizontal="center"/>
    </xf>
    <xf numFmtId="10" fontId="8" fillId="0" borderId="77" xfId="3" applyNumberFormat="1" applyFont="1" applyBorder="1" applyAlignment="1">
      <alignment horizontal="center"/>
    </xf>
    <xf numFmtId="10" fontId="8" fillId="0" borderId="78" xfId="3" applyNumberFormat="1" applyFont="1" applyBorder="1" applyAlignment="1">
      <alignment horizontal="center"/>
    </xf>
    <xf numFmtId="0" fontId="8" fillId="0" borderId="79" xfId="0" applyFont="1" applyBorder="1" applyAlignment="1">
      <alignment horizontal="center"/>
    </xf>
    <xf numFmtId="0" fontId="8" fillId="0" borderId="80" xfId="0" applyFont="1" applyBorder="1" applyAlignment="1">
      <alignment horizontal="center"/>
    </xf>
    <xf numFmtId="0" fontId="0" fillId="0" borderId="41" xfId="0" applyBorder="1"/>
    <xf numFmtId="0" fontId="0" fillId="0" borderId="26" xfId="0" applyBorder="1"/>
    <xf numFmtId="0" fontId="0" fillId="0" borderId="32" xfId="0" applyBorder="1"/>
    <xf numFmtId="0" fontId="0" fillId="0" borderId="31" xfId="0" applyBorder="1"/>
    <xf numFmtId="0" fontId="25" fillId="0" borderId="0" xfId="0" applyFont="1"/>
    <xf numFmtId="0" fontId="12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 applyProtection="1">
      <alignment horizontal="left"/>
    </xf>
    <xf numFmtId="174" fontId="12" fillId="0" borderId="0" xfId="2" applyNumberFormat="1" applyFont="1" applyFill="1" applyBorder="1" applyAlignment="1" applyProtection="1">
      <alignment horizontal="left"/>
    </xf>
    <xf numFmtId="0" fontId="12" fillId="0" borderId="0" xfId="0" applyFont="1" applyFill="1" applyAlignment="1">
      <alignment horizontal="left"/>
    </xf>
    <xf numFmtId="172" fontId="0" fillId="0" borderId="20" xfId="0" applyNumberFormat="1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10" borderId="0" xfId="0" applyFont="1" applyFill="1" applyAlignment="1">
      <alignment horizontal="left"/>
    </xf>
    <xf numFmtId="10" fontId="8" fillId="6" borderId="10" xfId="3" applyNumberFormat="1" applyFont="1" applyFill="1" applyBorder="1"/>
    <xf numFmtId="0" fontId="8" fillId="7" borderId="73" xfId="0" applyFont="1" applyFill="1" applyBorder="1" applyAlignment="1">
      <alignment horizontal="center" vertical="center" wrapText="1"/>
    </xf>
    <xf numFmtId="0" fontId="8" fillId="7" borderId="74" xfId="0" applyFont="1" applyFill="1" applyBorder="1" applyAlignment="1">
      <alignment horizontal="center" vertical="center"/>
    </xf>
    <xf numFmtId="0" fontId="8" fillId="7" borderId="74" xfId="0" applyFont="1" applyFill="1" applyBorder="1" applyAlignment="1">
      <alignment horizontal="center" vertical="center" wrapText="1"/>
    </xf>
    <xf numFmtId="0" fontId="8" fillId="7" borderId="81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right"/>
    </xf>
    <xf numFmtId="164" fontId="8" fillId="0" borderId="60" xfId="0" applyNumberFormat="1" applyFont="1" applyFill="1" applyBorder="1" applyAlignment="1">
      <alignment horizontal="center" vertical="center" wrapText="1"/>
    </xf>
    <xf numFmtId="164" fontId="8" fillId="0" borderId="82" xfId="0" applyNumberFormat="1" applyFont="1" applyFill="1" applyBorder="1" applyAlignment="1">
      <alignment horizontal="center" vertical="center" wrapText="1"/>
    </xf>
    <xf numFmtId="164" fontId="8" fillId="2" borderId="34" xfId="0" applyNumberFormat="1" applyFont="1" applyFill="1" applyBorder="1" applyAlignment="1">
      <alignment horizontal="center" vertical="center" wrapText="1"/>
    </xf>
    <xf numFmtId="164" fontId="8" fillId="7" borderId="83" xfId="0" applyNumberFormat="1" applyFont="1" applyFill="1" applyBorder="1" applyAlignment="1">
      <alignment horizontal="center" vertical="center" wrapText="1"/>
    </xf>
    <xf numFmtId="164" fontId="8" fillId="0" borderId="73" xfId="0" applyNumberFormat="1" applyFont="1" applyFill="1" applyBorder="1" applyAlignment="1">
      <alignment horizontal="center" vertical="center" wrapText="1"/>
    </xf>
    <xf numFmtId="164" fontId="8" fillId="0" borderId="64" xfId="0" applyNumberFormat="1" applyFont="1" applyFill="1" applyBorder="1" applyAlignment="1">
      <alignment horizontal="center" vertical="center" wrapText="1"/>
    </xf>
    <xf numFmtId="164" fontId="8" fillId="2" borderId="61" xfId="0" applyNumberFormat="1" applyFont="1" applyFill="1" applyBorder="1" applyAlignment="1">
      <alignment horizontal="center" vertical="center" wrapText="1"/>
    </xf>
    <xf numFmtId="0" fontId="0" fillId="7" borderId="57" xfId="0" applyFill="1" applyBorder="1" applyAlignment="1">
      <alignment horizontal="center"/>
    </xf>
    <xf numFmtId="20" fontId="0" fillId="7" borderId="28" xfId="0" applyNumberForma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168" fontId="12" fillId="7" borderId="28" xfId="1" applyFont="1" applyFill="1" applyBorder="1" applyAlignment="1">
      <alignment horizontal="center"/>
    </xf>
    <xf numFmtId="168" fontId="12" fillId="7" borderId="28" xfId="1" applyNumberFormat="1" applyFont="1" applyFill="1" applyBorder="1" applyAlignment="1">
      <alignment horizontal="center"/>
    </xf>
    <xf numFmtId="0" fontId="0" fillId="7" borderId="84" xfId="0" applyFill="1" applyBorder="1" applyAlignment="1">
      <alignment horizontal="center"/>
    </xf>
    <xf numFmtId="168" fontId="12" fillId="2" borderId="85" xfId="1" applyFont="1" applyFill="1" applyBorder="1" applyAlignment="1">
      <alignment horizontal="center"/>
    </xf>
    <xf numFmtId="168" fontId="32" fillId="7" borderId="0" xfId="0" applyNumberFormat="1" applyFont="1" applyFill="1"/>
    <xf numFmtId="168" fontId="12" fillId="7" borderId="57" xfId="1" applyFont="1" applyFill="1" applyBorder="1"/>
    <xf numFmtId="168" fontId="12" fillId="7" borderId="84" xfId="1" applyFont="1" applyFill="1" applyBorder="1"/>
    <xf numFmtId="168" fontId="12" fillId="2" borderId="85" xfId="1" applyFont="1" applyFill="1" applyBorder="1"/>
    <xf numFmtId="168" fontId="12" fillId="7" borderId="0" xfId="1" applyFont="1" applyFill="1"/>
    <xf numFmtId="168" fontId="12" fillId="7" borderId="58" xfId="1" applyFont="1" applyFill="1" applyBorder="1"/>
    <xf numFmtId="168" fontId="12" fillId="7" borderId="20" xfId="1" applyFont="1" applyFill="1" applyBorder="1"/>
    <xf numFmtId="168" fontId="12" fillId="7" borderId="25" xfId="1" applyFont="1" applyFill="1" applyBorder="1"/>
    <xf numFmtId="168" fontId="12" fillId="2" borderId="86" xfId="1" applyFont="1" applyFill="1" applyBorder="1"/>
    <xf numFmtId="0" fontId="0" fillId="7" borderId="41" xfId="0" applyFill="1" applyBorder="1" applyAlignment="1">
      <alignment horizontal="center"/>
    </xf>
    <xf numFmtId="20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8" fontId="12" fillId="7" borderId="1" xfId="1" applyFont="1" applyFill="1" applyBorder="1" applyAlignment="1">
      <alignment horizontal="center"/>
    </xf>
    <xf numFmtId="168" fontId="12" fillId="7" borderId="1" xfId="1" applyNumberFormat="1" applyFont="1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168" fontId="12" fillId="2" borderId="87" xfId="1" applyFont="1" applyFill="1" applyBorder="1" applyAlignment="1">
      <alignment horizontal="center"/>
    </xf>
    <xf numFmtId="168" fontId="12" fillId="7" borderId="41" xfId="1" applyFont="1" applyFill="1" applyBorder="1"/>
    <xf numFmtId="168" fontId="12" fillId="7" borderId="38" xfId="1" applyFont="1" applyFill="1" applyBorder="1"/>
    <xf numFmtId="168" fontId="12" fillId="2" borderId="87" xfId="1" applyFont="1" applyFill="1" applyBorder="1"/>
    <xf numFmtId="168" fontId="12" fillId="7" borderId="88" xfId="1" applyFont="1" applyFill="1" applyBorder="1"/>
    <xf numFmtId="168" fontId="12" fillId="7" borderId="1" xfId="1" applyFont="1" applyFill="1" applyBorder="1"/>
    <xf numFmtId="43" fontId="0" fillId="2" borderId="87" xfId="0" applyNumberFormat="1" applyFill="1" applyBorder="1"/>
    <xf numFmtId="43" fontId="0" fillId="7" borderId="88" xfId="0" applyNumberFormat="1" applyFill="1" applyBorder="1"/>
    <xf numFmtId="168" fontId="12" fillId="7" borderId="89" xfId="1" applyFont="1" applyFill="1" applyBorder="1"/>
    <xf numFmtId="168" fontId="12" fillId="2" borderId="90" xfId="1" applyFont="1" applyFill="1" applyBorder="1"/>
    <xf numFmtId="43" fontId="0" fillId="2" borderId="90" xfId="0" applyNumberFormat="1" applyFill="1" applyBorder="1"/>
    <xf numFmtId="43" fontId="0" fillId="7" borderId="91" xfId="0" applyNumberFormat="1" applyFill="1" applyBorder="1"/>
    <xf numFmtId="20" fontId="0" fillId="7" borderId="30" xfId="0" applyNumberFormat="1" applyFill="1" applyBorder="1" applyAlignment="1">
      <alignment horizontal="center"/>
    </xf>
    <xf numFmtId="168" fontId="12" fillId="7" borderId="30" xfId="1" applyFont="1" applyFill="1" applyBorder="1" applyAlignment="1">
      <alignment horizontal="center"/>
    </xf>
    <xf numFmtId="168" fontId="12" fillId="7" borderId="30" xfId="1" applyNumberFormat="1" applyFont="1" applyFill="1" applyBorder="1" applyAlignment="1">
      <alignment horizontal="center"/>
    </xf>
    <xf numFmtId="0" fontId="0" fillId="7" borderId="89" xfId="0" applyFill="1" applyBorder="1" applyAlignment="1">
      <alignment horizontal="center"/>
    </xf>
    <xf numFmtId="168" fontId="12" fillId="10" borderId="90" xfId="1" applyFont="1" applyFill="1" applyBorder="1" applyAlignment="1">
      <alignment horizontal="center"/>
    </xf>
    <xf numFmtId="4" fontId="0" fillId="10" borderId="92" xfId="0" applyNumberFormat="1" applyFill="1" applyBorder="1"/>
    <xf numFmtId="168" fontId="12" fillId="10" borderId="93" xfId="1" applyFont="1" applyFill="1" applyBorder="1"/>
    <xf numFmtId="168" fontId="12" fillId="10" borderId="94" xfId="1" applyFont="1" applyFill="1" applyBorder="1"/>
    <xf numFmtId="43" fontId="0" fillId="10" borderId="94" xfId="0" applyNumberFormat="1" applyFill="1" applyBorder="1"/>
    <xf numFmtId="43" fontId="0" fillId="10" borderId="63" xfId="0" applyNumberFormat="1" applyFill="1" applyBorder="1"/>
    <xf numFmtId="168" fontId="12" fillId="10" borderId="1" xfId="1" applyFont="1" applyFill="1" applyBorder="1"/>
    <xf numFmtId="168" fontId="12" fillId="10" borderId="38" xfId="1" applyFont="1" applyFill="1" applyBorder="1"/>
    <xf numFmtId="168" fontId="12" fillId="10" borderId="90" xfId="1" applyFont="1" applyFill="1" applyBorder="1"/>
    <xf numFmtId="0" fontId="17" fillId="7" borderId="0" xfId="0" applyFont="1" applyFill="1" applyAlignment="1">
      <alignment horizontal="right"/>
    </xf>
    <xf numFmtId="0" fontId="0" fillId="7" borderId="61" xfId="0" applyFill="1" applyBorder="1" applyAlignment="1">
      <alignment horizontal="center"/>
    </xf>
    <xf numFmtId="168" fontId="12" fillId="7" borderId="85" xfId="1" applyFont="1" applyFill="1" applyBorder="1"/>
    <xf numFmtId="168" fontId="0" fillId="7" borderId="61" xfId="0" applyNumberFormat="1" applyFill="1" applyBorder="1"/>
    <xf numFmtId="168" fontId="0" fillId="2" borderId="61" xfId="0" applyNumberFormat="1" applyFill="1" applyBorder="1"/>
    <xf numFmtId="43" fontId="0" fillId="2" borderId="61" xfId="0" applyNumberFormat="1" applyFill="1" applyBorder="1"/>
    <xf numFmtId="43" fontId="0" fillId="7" borderId="66" xfId="0" applyNumberFormat="1" applyFill="1" applyBorder="1"/>
    <xf numFmtId="43" fontId="0" fillId="7" borderId="73" xfId="0" applyNumberFormat="1" applyFill="1" applyBorder="1"/>
    <xf numFmtId="43" fontId="0" fillId="7" borderId="75" xfId="0" applyNumberFormat="1" applyFill="1" applyBorder="1"/>
    <xf numFmtId="43" fontId="0" fillId="2" borderId="66" xfId="0" applyNumberFormat="1" applyFill="1" applyBorder="1"/>
    <xf numFmtId="168" fontId="12" fillId="7" borderId="87" xfId="1" applyFont="1" applyFill="1" applyBorder="1"/>
    <xf numFmtId="168" fontId="12" fillId="7" borderId="90" xfId="1" applyFont="1" applyFill="1" applyBorder="1"/>
    <xf numFmtId="0" fontId="0" fillId="7" borderId="95" xfId="0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33" fillId="7" borderId="0" xfId="0" applyFont="1" applyFill="1"/>
    <xf numFmtId="9" fontId="33" fillId="7" borderId="0" xfId="0" applyNumberFormat="1" applyFont="1" applyFill="1"/>
    <xf numFmtId="0" fontId="33" fillId="7" borderId="0" xfId="0" applyFont="1" applyFill="1" applyAlignment="1">
      <alignment horizontal="right"/>
    </xf>
    <xf numFmtId="168" fontId="33" fillId="7" borderId="0" xfId="1" applyFont="1" applyFill="1"/>
    <xf numFmtId="0" fontId="12" fillId="7" borderId="0" xfId="0" applyFont="1" applyFill="1"/>
    <xf numFmtId="15" fontId="0" fillId="7" borderId="0" xfId="0" applyNumberFormat="1" applyFill="1"/>
    <xf numFmtId="168" fontId="30" fillId="7" borderId="41" xfId="1" applyFont="1" applyFill="1" applyBorder="1"/>
    <xf numFmtId="168" fontId="30" fillId="7" borderId="32" xfId="1" applyFont="1" applyFill="1" applyBorder="1"/>
    <xf numFmtId="0" fontId="8" fillId="7" borderId="73" xfId="0" applyFont="1" applyFill="1" applyBorder="1" applyAlignment="1">
      <alignment horizontal="center" vertical="center"/>
    </xf>
    <xf numFmtId="0" fontId="8" fillId="7" borderId="81" xfId="0" applyFont="1" applyFill="1" applyBorder="1" applyAlignment="1">
      <alignment horizontal="center" vertical="center"/>
    </xf>
    <xf numFmtId="0" fontId="8" fillId="7" borderId="96" xfId="0" applyFont="1" applyFill="1" applyBorder="1" applyAlignment="1">
      <alignment horizontal="center" vertical="center" wrapText="1"/>
    </xf>
    <xf numFmtId="0" fontId="8" fillId="7" borderId="75" xfId="0" applyFont="1" applyFill="1" applyBorder="1" applyAlignment="1">
      <alignment horizontal="center" vertical="center"/>
    </xf>
    <xf numFmtId="164" fontId="8" fillId="0" borderId="57" xfId="0" applyNumberFormat="1" applyFont="1" applyFill="1" applyBorder="1" applyAlignment="1">
      <alignment horizontal="center" vertical="center" wrapText="1"/>
    </xf>
    <xf numFmtId="164" fontId="8" fillId="0" borderId="84" xfId="0" applyNumberFormat="1" applyFont="1" applyFill="1" applyBorder="1" applyAlignment="1">
      <alignment horizontal="center" vertical="center" wrapText="1"/>
    </xf>
    <xf numFmtId="164" fontId="8" fillId="2" borderId="85" xfId="0" applyNumberFormat="1" applyFont="1" applyFill="1" applyBorder="1" applyAlignment="1">
      <alignment horizontal="center" vertical="center" wrapText="1"/>
    </xf>
    <xf numFmtId="164" fontId="8" fillId="0" borderId="79" xfId="0" applyNumberFormat="1" applyFont="1" applyFill="1" applyBorder="1" applyAlignment="1">
      <alignment horizontal="center" vertical="center" wrapText="1"/>
    </xf>
    <xf numFmtId="1" fontId="0" fillId="7" borderId="28" xfId="0" applyNumberFormat="1" applyFill="1" applyBorder="1" applyAlignment="1">
      <alignment horizontal="center"/>
    </xf>
    <xf numFmtId="176" fontId="12" fillId="2" borderId="85" xfId="1" applyNumberFormat="1" applyFont="1" applyFill="1" applyBorder="1" applyAlignment="1">
      <alignment horizontal="center"/>
    </xf>
    <xf numFmtId="0" fontId="0" fillId="7" borderId="70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10" borderId="36" xfId="0" applyFill="1" applyBorder="1"/>
    <xf numFmtId="0" fontId="0" fillId="10" borderId="0" xfId="0" applyFill="1" applyBorder="1"/>
    <xf numFmtId="0" fontId="0" fillId="10" borderId="97" xfId="0" applyFill="1" applyBorder="1"/>
    <xf numFmtId="0" fontId="0" fillId="10" borderId="61" xfId="0" applyFill="1" applyBorder="1"/>
    <xf numFmtId="0" fontId="0" fillId="10" borderId="79" xfId="0" applyFill="1" applyBorder="1"/>
    <xf numFmtId="0" fontId="0" fillId="10" borderId="95" xfId="0" applyFill="1" applyBorder="1"/>
    <xf numFmtId="0" fontId="0" fillId="10" borderId="34" xfId="0" applyFill="1" applyBorder="1"/>
    <xf numFmtId="1" fontId="0" fillId="7" borderId="1" xfId="0" applyNumberFormat="1" applyFill="1" applyBorder="1" applyAlignment="1">
      <alignment horizontal="center"/>
    </xf>
    <xf numFmtId="176" fontId="12" fillId="2" borderId="87" xfId="1" applyNumberFormat="1" applyFont="1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43" fontId="0" fillId="2" borderId="85" xfId="0" applyNumberFormat="1" applyFill="1" applyBorder="1"/>
    <xf numFmtId="43" fontId="0" fillId="7" borderId="85" xfId="0" applyNumberFormat="1" applyFill="1" applyBorder="1"/>
    <xf numFmtId="43" fontId="0" fillId="7" borderId="87" xfId="0" applyNumberFormat="1" applyFill="1" applyBorder="1"/>
    <xf numFmtId="1" fontId="0" fillId="7" borderId="30" xfId="0" applyNumberFormat="1" applyFill="1" applyBorder="1" applyAlignment="1">
      <alignment horizontal="center"/>
    </xf>
    <xf numFmtId="176" fontId="12" fillId="2" borderId="90" xfId="1" applyNumberFormat="1" applyFont="1" applyFill="1" applyBorder="1" applyAlignment="1">
      <alignment horizontal="center"/>
    </xf>
    <xf numFmtId="43" fontId="0" fillId="7" borderId="90" xfId="0" applyNumberFormat="1" applyFill="1" applyBorder="1"/>
    <xf numFmtId="168" fontId="12" fillId="7" borderId="32" xfId="1" applyFont="1" applyFill="1" applyBorder="1"/>
    <xf numFmtId="20" fontId="0" fillId="7" borderId="0" xfId="0" applyNumberFormat="1" applyFill="1"/>
    <xf numFmtId="176" fontId="12" fillId="7" borderId="0" xfId="1" applyNumberFormat="1" applyFont="1" applyFill="1"/>
    <xf numFmtId="176" fontId="12" fillId="7" borderId="85" xfId="1" applyNumberFormat="1" applyFont="1" applyFill="1" applyBorder="1"/>
    <xf numFmtId="0" fontId="0" fillId="14" borderId="0" xfId="0" applyFill="1"/>
    <xf numFmtId="0" fontId="17" fillId="14" borderId="0" xfId="0" applyFont="1" applyFill="1"/>
    <xf numFmtId="164" fontId="8" fillId="7" borderId="73" xfId="0" applyNumberFormat="1" applyFont="1" applyFill="1" applyBorder="1" applyAlignment="1">
      <alignment horizontal="center" vertical="center" wrapText="1"/>
    </xf>
    <xf numFmtId="164" fontId="8" fillId="7" borderId="81" xfId="0" applyNumberFormat="1" applyFont="1" applyFill="1" applyBorder="1" applyAlignment="1">
      <alignment horizontal="center" vertical="center" wrapText="1"/>
    </xf>
    <xf numFmtId="164" fontId="8" fillId="2" borderId="60" xfId="0" applyNumberFormat="1" applyFont="1" applyFill="1" applyBorder="1" applyAlignment="1">
      <alignment horizontal="center" vertical="center" wrapText="1"/>
    </xf>
    <xf numFmtId="164" fontId="8" fillId="2" borderId="80" xfId="0" applyNumberFormat="1" applyFont="1" applyFill="1" applyBorder="1" applyAlignment="1">
      <alignment horizontal="center" vertical="center" wrapText="1"/>
    </xf>
    <xf numFmtId="164" fontId="8" fillId="7" borderId="66" xfId="0" applyNumberFormat="1" applyFont="1" applyFill="1" applyBorder="1" applyAlignment="1">
      <alignment horizontal="center" vertical="center" wrapText="1"/>
    </xf>
    <xf numFmtId="164" fontId="8" fillId="2" borderId="73" xfId="0" applyNumberFormat="1" applyFont="1" applyFill="1" applyBorder="1" applyAlignment="1">
      <alignment horizontal="center" vertical="center" wrapText="1"/>
    </xf>
    <xf numFmtId="164" fontId="8" fillId="2" borderId="75" xfId="0" applyNumberFormat="1" applyFont="1" applyFill="1" applyBorder="1" applyAlignment="1">
      <alignment horizontal="center" vertical="center" wrapText="1"/>
    </xf>
    <xf numFmtId="0" fontId="34" fillId="14" borderId="0" xfId="0" applyFont="1" applyFill="1"/>
    <xf numFmtId="177" fontId="12" fillId="2" borderId="57" xfId="1" applyNumberFormat="1" applyFont="1" applyFill="1" applyBorder="1"/>
    <xf numFmtId="177" fontId="30" fillId="2" borderId="29" xfId="1" applyNumberFormat="1" applyFont="1" applyFill="1" applyBorder="1"/>
    <xf numFmtId="177" fontId="12" fillId="7" borderId="58" xfId="1" applyNumberFormat="1" applyFont="1" applyFill="1" applyBorder="1"/>
    <xf numFmtId="177" fontId="12" fillId="2" borderId="71" xfId="1" applyNumberFormat="1" applyFont="1" applyFill="1" applyBorder="1"/>
    <xf numFmtId="178" fontId="0" fillId="2" borderId="72" xfId="0" applyNumberFormat="1" applyFill="1" applyBorder="1"/>
    <xf numFmtId="178" fontId="0" fillId="7" borderId="58" xfId="0" applyNumberFormat="1" applyFill="1" applyBorder="1"/>
    <xf numFmtId="10" fontId="30" fillId="7" borderId="58" xfId="3" applyNumberFormat="1" applyFont="1" applyFill="1" applyBorder="1"/>
    <xf numFmtId="0" fontId="0" fillId="7" borderId="25" xfId="0" applyFill="1" applyBorder="1" applyAlignment="1">
      <alignment horizontal="center"/>
    </xf>
    <xf numFmtId="177" fontId="12" fillId="2" borderId="41" xfId="1" applyNumberFormat="1" applyFont="1" applyFill="1" applyBorder="1"/>
    <xf numFmtId="177" fontId="30" fillId="2" borderId="26" xfId="1" applyNumberFormat="1" applyFont="1" applyFill="1" applyBorder="1"/>
    <xf numFmtId="177" fontId="12" fillId="7" borderId="88" xfId="1" applyNumberFormat="1" applyFont="1" applyFill="1" applyBorder="1"/>
    <xf numFmtId="178" fontId="0" fillId="2" borderId="26" xfId="0" applyNumberFormat="1" applyFill="1" applyBorder="1"/>
    <xf numFmtId="178" fontId="0" fillId="7" borderId="88" xfId="0" applyNumberFormat="1" applyFill="1" applyBorder="1"/>
    <xf numFmtId="10" fontId="30" fillId="7" borderId="88" xfId="3" applyNumberFormat="1" applyFont="1" applyFill="1" applyBorder="1"/>
    <xf numFmtId="178" fontId="0" fillId="2" borderId="31" xfId="0" applyNumberFormat="1" applyFill="1" applyBorder="1"/>
    <xf numFmtId="0" fontId="0" fillId="7" borderId="93" xfId="0" applyFill="1" applyBorder="1" applyAlignment="1">
      <alignment horizontal="center"/>
    </xf>
    <xf numFmtId="177" fontId="12" fillId="2" borderId="32" xfId="1" applyNumberFormat="1" applyFont="1" applyFill="1" applyBorder="1"/>
    <xf numFmtId="177" fontId="30" fillId="2" borderId="31" xfId="1" applyNumberFormat="1" applyFont="1" applyFill="1" applyBorder="1"/>
    <xf numFmtId="177" fontId="12" fillId="7" borderId="91" xfId="1" applyNumberFormat="1" applyFont="1" applyFill="1" applyBorder="1"/>
    <xf numFmtId="43" fontId="0" fillId="10" borderId="62" xfId="0" applyNumberFormat="1" applyFill="1" applyBorder="1"/>
    <xf numFmtId="43" fontId="0" fillId="10" borderId="93" xfId="0" applyNumberFormat="1" applyFill="1" applyBorder="1"/>
    <xf numFmtId="0" fontId="0" fillId="10" borderId="90" xfId="0" applyFill="1" applyBorder="1"/>
    <xf numFmtId="0" fontId="8" fillId="14" borderId="0" xfId="0" applyFont="1" applyFill="1" applyAlignment="1">
      <alignment horizontal="right"/>
    </xf>
    <xf numFmtId="177" fontId="0" fillId="7" borderId="61" xfId="0" applyNumberFormat="1" applyFill="1" applyBorder="1"/>
    <xf numFmtId="177" fontId="35" fillId="14" borderId="0" xfId="0" applyNumberFormat="1" applyFont="1" applyFill="1"/>
    <xf numFmtId="177" fontId="0" fillId="14" borderId="0" xfId="0" applyNumberFormat="1" applyFill="1"/>
    <xf numFmtId="0" fontId="8" fillId="14" borderId="0" xfId="0" applyFont="1" applyFill="1"/>
    <xf numFmtId="0" fontId="8" fillId="17" borderId="61" xfId="0" applyFont="1" applyFill="1" applyBorder="1" applyAlignment="1">
      <alignment horizontal="center"/>
    </xf>
    <xf numFmtId="10" fontId="12" fillId="7" borderId="61" xfId="3" applyNumberFormat="1" applyFont="1" applyFill="1" applyBorder="1"/>
    <xf numFmtId="9" fontId="30" fillId="7" borderId="61" xfId="3" applyFont="1" applyFill="1" applyBorder="1" applyAlignment="1">
      <alignment horizontal="center"/>
    </xf>
    <xf numFmtId="0" fontId="34" fillId="14" borderId="0" xfId="0" applyNumberFormat="1" applyFont="1" applyFill="1" applyBorder="1" applyAlignment="1" applyProtection="1"/>
    <xf numFmtId="0" fontId="0" fillId="14" borderId="0" xfId="0" applyNumberFormat="1" applyFont="1" applyFill="1" applyBorder="1" applyAlignment="1" applyProtection="1"/>
    <xf numFmtId="0" fontId="17" fillId="14" borderId="0" xfId="0" applyNumberFormat="1" applyFont="1" applyFill="1" applyBorder="1" applyAlignment="1" applyProtection="1"/>
    <xf numFmtId="164" fontId="8" fillId="7" borderId="98" xfId="0" applyNumberFormat="1" applyFont="1" applyFill="1" applyBorder="1" applyAlignment="1" applyProtection="1">
      <alignment horizontal="center" vertical="center" wrapText="1"/>
    </xf>
    <xf numFmtId="164" fontId="8" fillId="7" borderId="99" xfId="0" applyNumberFormat="1" applyFont="1" applyFill="1" applyBorder="1" applyAlignment="1" applyProtection="1">
      <alignment horizontal="center" vertical="center" wrapText="1"/>
    </xf>
    <xf numFmtId="164" fontId="8" fillId="2" borderId="98" xfId="0" applyNumberFormat="1" applyFont="1" applyFill="1" applyBorder="1" applyAlignment="1" applyProtection="1">
      <alignment horizontal="center" vertical="center" wrapText="1"/>
    </xf>
    <xf numFmtId="164" fontId="8" fillId="2" borderId="100" xfId="0" applyNumberFormat="1" applyFont="1" applyFill="1" applyBorder="1" applyAlignment="1" applyProtection="1">
      <alignment horizontal="center" vertical="center" wrapText="1"/>
    </xf>
    <xf numFmtId="164" fontId="8" fillId="7" borderId="101" xfId="0" applyNumberFormat="1" applyFont="1" applyFill="1" applyBorder="1" applyAlignment="1" applyProtection="1">
      <alignment horizontal="center" vertical="center" wrapText="1"/>
    </xf>
    <xf numFmtId="0" fontId="0" fillId="7" borderId="57" xfId="0" applyNumberFormat="1" applyFont="1" applyFill="1" applyBorder="1" applyAlignment="1" applyProtection="1">
      <alignment horizontal="center"/>
    </xf>
    <xf numFmtId="0" fontId="0" fillId="7" borderId="29" xfId="0" applyNumberFormat="1" applyFont="1" applyFill="1" applyBorder="1" applyAlignment="1" applyProtection="1">
      <alignment horizontal="center"/>
    </xf>
    <xf numFmtId="177" fontId="12" fillId="2" borderId="70" xfId="0" applyNumberFormat="1" applyFont="1" applyFill="1" applyBorder="1" applyAlignment="1" applyProtection="1"/>
    <xf numFmtId="176" fontId="0" fillId="2" borderId="29" xfId="0" applyNumberFormat="1" applyFont="1" applyFill="1" applyBorder="1" applyAlignment="1" applyProtection="1"/>
    <xf numFmtId="177" fontId="12" fillId="7" borderId="102" xfId="0" applyNumberFormat="1" applyFont="1" applyFill="1" applyBorder="1" applyAlignment="1" applyProtection="1"/>
    <xf numFmtId="0" fontId="0" fillId="7" borderId="41" xfId="0" applyNumberFormat="1" applyFont="1" applyFill="1" applyBorder="1" applyAlignment="1" applyProtection="1">
      <alignment horizontal="center"/>
    </xf>
    <xf numFmtId="0" fontId="0" fillId="7" borderId="26" xfId="0" applyNumberFormat="1" applyFont="1" applyFill="1" applyBorder="1" applyAlignment="1" applyProtection="1">
      <alignment horizontal="center"/>
    </xf>
    <xf numFmtId="168" fontId="12" fillId="2" borderId="19" xfId="0" applyNumberFormat="1" applyFont="1" applyFill="1" applyBorder="1" applyAlignment="1" applyProtection="1"/>
    <xf numFmtId="176" fontId="0" fillId="2" borderId="26" xfId="0" applyNumberFormat="1" applyFont="1" applyFill="1" applyBorder="1" applyAlignment="1" applyProtection="1"/>
    <xf numFmtId="168" fontId="12" fillId="7" borderId="103" xfId="0" applyNumberFormat="1" applyFont="1" applyFill="1" applyBorder="1" applyAlignment="1" applyProtection="1"/>
    <xf numFmtId="177" fontId="12" fillId="2" borderId="19" xfId="0" applyNumberFormat="1" applyFont="1" applyFill="1" applyBorder="1" applyAlignment="1" applyProtection="1"/>
    <xf numFmtId="0" fontId="0" fillId="7" borderId="32" xfId="0" applyNumberFormat="1" applyFont="1" applyFill="1" applyBorder="1" applyAlignment="1" applyProtection="1">
      <alignment horizontal="center"/>
    </xf>
    <xf numFmtId="0" fontId="0" fillId="7" borderId="31" xfId="0" applyNumberFormat="1" applyFont="1" applyFill="1" applyBorder="1" applyAlignment="1" applyProtection="1">
      <alignment horizontal="center"/>
    </xf>
    <xf numFmtId="177" fontId="12" fillId="2" borderId="33" xfId="0" applyNumberFormat="1" applyFont="1" applyFill="1" applyBorder="1" applyAlignment="1" applyProtection="1"/>
    <xf numFmtId="176" fontId="0" fillId="2" borderId="31" xfId="0" applyNumberFormat="1" applyFont="1" applyFill="1" applyBorder="1" applyAlignment="1" applyProtection="1"/>
    <xf numFmtId="168" fontId="12" fillId="7" borderId="104" xfId="0" applyNumberFormat="1" applyFont="1" applyFill="1" applyBorder="1" applyAlignment="1" applyProtection="1"/>
    <xf numFmtId="0" fontId="8" fillId="14" borderId="0" xfId="0" applyNumberFormat="1" applyFont="1" applyFill="1" applyBorder="1" applyAlignment="1" applyProtection="1">
      <alignment horizontal="right"/>
    </xf>
    <xf numFmtId="0" fontId="0" fillId="7" borderId="105" xfId="0" applyNumberFormat="1" applyFont="1" applyFill="1" applyBorder="1" applyAlignment="1" applyProtection="1">
      <alignment horizontal="center"/>
    </xf>
    <xf numFmtId="177" fontId="0" fillId="7" borderId="105" xfId="0" applyNumberFormat="1" applyFont="1" applyFill="1" applyBorder="1" applyAlignment="1" applyProtection="1"/>
    <xf numFmtId="177" fontId="31" fillId="14" borderId="0" xfId="0" applyNumberFormat="1" applyFont="1" applyFill="1" applyBorder="1" applyAlignment="1" applyProtection="1"/>
    <xf numFmtId="10" fontId="0" fillId="7" borderId="105" xfId="4" applyNumberFormat="1" applyFont="1" applyFill="1" applyBorder="1" applyAlignment="1" applyProtection="1"/>
    <xf numFmtId="9" fontId="0" fillId="7" borderId="105" xfId="0" applyNumberFormat="1" applyFont="1" applyFill="1" applyBorder="1" applyAlignment="1" applyProtection="1">
      <alignment horizontal="center"/>
    </xf>
    <xf numFmtId="40" fontId="8" fillId="2" borderId="81" xfId="0" applyNumberFormat="1" applyFont="1" applyFill="1" applyBorder="1"/>
    <xf numFmtId="0" fontId="0" fillId="11" borderId="106" xfId="0" applyFill="1" applyBorder="1" applyAlignment="1">
      <alignment horizontal="center"/>
    </xf>
    <xf numFmtId="0" fontId="0" fillId="12" borderId="38" xfId="0" applyFill="1" applyBorder="1"/>
    <xf numFmtId="2" fontId="0" fillId="0" borderId="26" xfId="0" applyNumberFormat="1" applyBorder="1"/>
    <xf numFmtId="0" fontId="0" fillId="5" borderId="38" xfId="0" applyFill="1" applyBorder="1"/>
    <xf numFmtId="0" fontId="0" fillId="11" borderId="26" xfId="0" applyFill="1" applyBorder="1"/>
    <xf numFmtId="40" fontId="4" fillId="7" borderId="0" xfId="0" applyNumberFormat="1" applyFont="1" applyFill="1" applyAlignment="1">
      <alignment horizontal="center"/>
    </xf>
    <xf numFmtId="40" fontId="5" fillId="7" borderId="0" xfId="0" applyNumberFormat="1" applyFont="1" applyFill="1" applyAlignment="1"/>
    <xf numFmtId="40" fontId="6" fillId="7" borderId="0" xfId="0" applyNumberFormat="1" applyFont="1" applyFill="1" applyAlignment="1"/>
    <xf numFmtId="0" fontId="4" fillId="0" borderId="1" xfId="0" applyFont="1" applyFill="1" applyBorder="1"/>
    <xf numFmtId="0" fontId="8" fillId="2" borderId="0" xfId="0" applyFont="1" applyFill="1" applyBorder="1"/>
    <xf numFmtId="0" fontId="8" fillId="0" borderId="77" xfId="3" applyNumberFormat="1" applyFont="1" applyBorder="1" applyAlignment="1">
      <alignment horizontal="center"/>
    </xf>
    <xf numFmtId="0" fontId="0" fillId="0" borderId="40" xfId="0" applyBorder="1"/>
    <xf numFmtId="0" fontId="0" fillId="0" borderId="42" xfId="0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4" fillId="2" borderId="3" xfId="0" applyFont="1" applyFill="1" applyBorder="1"/>
    <xf numFmtId="0" fontId="15" fillId="2" borderId="7" xfId="0" applyFont="1" applyFill="1" applyBorder="1"/>
    <xf numFmtId="0" fontId="15" fillId="2" borderId="14" xfId="0" applyFont="1" applyFill="1" applyBorder="1"/>
    <xf numFmtId="1" fontId="0" fillId="0" borderId="47" xfId="0" applyNumberFormat="1" applyBorder="1"/>
    <xf numFmtId="0" fontId="0" fillId="0" borderId="14" xfId="0" applyBorder="1"/>
    <xf numFmtId="168" fontId="19" fillId="9" borderId="15" xfId="1" applyFont="1" applyFill="1" applyBorder="1"/>
    <xf numFmtId="170" fontId="19" fillId="9" borderId="15" xfId="1" applyNumberFormat="1" applyFont="1" applyFill="1" applyBorder="1"/>
    <xf numFmtId="10" fontId="19" fillId="9" borderId="15" xfId="3" applyNumberFormat="1" applyFont="1" applyFill="1" applyBorder="1"/>
    <xf numFmtId="0" fontId="0" fillId="0" borderId="50" xfId="0" applyBorder="1"/>
    <xf numFmtId="0" fontId="8" fillId="0" borderId="16" xfId="0" applyFont="1" applyBorder="1" applyAlignment="1">
      <alignment horizontal="right"/>
    </xf>
    <xf numFmtId="168" fontId="19" fillId="9" borderId="49" xfId="1" applyFont="1" applyFill="1" applyBorder="1"/>
    <xf numFmtId="170" fontId="19" fillId="9" borderId="49" xfId="1" applyNumberFormat="1" applyFont="1" applyFill="1" applyBorder="1"/>
    <xf numFmtId="10" fontId="19" fillId="9" borderId="49" xfId="3" applyNumberFormat="1" applyFont="1" applyFill="1" applyBorder="1"/>
    <xf numFmtId="0" fontId="1" fillId="7" borderId="0" xfId="0" applyFont="1" applyFill="1"/>
    <xf numFmtId="0" fontId="0" fillId="0" borderId="61" xfId="0" applyBorder="1"/>
    <xf numFmtId="4" fontId="27" fillId="0" borderId="0" xfId="0" applyNumberFormat="1" applyFont="1" applyAlignment="1">
      <alignment horizontal="left"/>
    </xf>
    <xf numFmtId="40" fontId="4" fillId="8" borderId="1" xfId="0" applyNumberFormat="1" applyFont="1" applyFill="1" applyBorder="1" applyAlignment="1">
      <alignment horizontal="left" vertical="center"/>
    </xf>
    <xf numFmtId="40" fontId="3" fillId="8" borderId="1" xfId="0" applyNumberFormat="1" applyFont="1" applyFill="1" applyBorder="1" applyAlignment="1">
      <alignment horizontal="left" vertical="center"/>
    </xf>
    <xf numFmtId="0" fontId="22" fillId="5" borderId="1" xfId="0" applyFont="1" applyFill="1" applyBorder="1" applyAlignment="1">
      <alignment horizontal="center" vertical="center" textRotation="255"/>
    </xf>
    <xf numFmtId="0" fontId="22" fillId="5" borderId="41" xfId="0" applyFont="1" applyFill="1" applyBorder="1" applyAlignment="1">
      <alignment horizontal="center" vertical="center" textRotation="255"/>
    </xf>
    <xf numFmtId="0" fontId="22" fillId="5" borderId="38" xfId="0" applyFont="1" applyFill="1" applyBorder="1" applyAlignment="1">
      <alignment horizontal="center" vertical="center" textRotation="255"/>
    </xf>
    <xf numFmtId="0" fontId="4" fillId="5" borderId="26" xfId="0" applyFont="1" applyFill="1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textRotation="255"/>
    </xf>
    <xf numFmtId="0" fontId="3" fillId="5" borderId="1" xfId="0" applyFont="1" applyFill="1" applyBorder="1" applyAlignment="1">
      <alignment horizontal="center" vertical="center" textRotation="255"/>
    </xf>
    <xf numFmtId="0" fontId="22" fillId="11" borderId="1" xfId="0" applyFont="1" applyFill="1" applyBorder="1" applyAlignment="1">
      <alignment horizontal="center" vertical="center" textRotation="255"/>
    </xf>
    <xf numFmtId="0" fontId="22" fillId="11" borderId="41" xfId="0" applyFont="1" applyFill="1" applyBorder="1" applyAlignment="1">
      <alignment horizontal="center" vertical="center" textRotation="255"/>
    </xf>
    <xf numFmtId="0" fontId="22" fillId="11" borderId="38" xfId="0" applyFont="1" applyFill="1" applyBorder="1" applyAlignment="1">
      <alignment horizontal="center" vertical="center" textRotation="255"/>
    </xf>
    <xf numFmtId="0" fontId="4" fillId="11" borderId="26" xfId="0" applyFont="1" applyFill="1" applyBorder="1" applyAlignment="1">
      <alignment horizontal="center" vertical="center" textRotation="255"/>
    </xf>
    <xf numFmtId="0" fontId="3" fillId="11" borderId="1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 textRotation="255"/>
    </xf>
    <xf numFmtId="0" fontId="22" fillId="12" borderId="41" xfId="0" applyFont="1" applyFill="1" applyBorder="1" applyAlignment="1">
      <alignment horizontal="center" vertical="center" textRotation="255"/>
    </xf>
    <xf numFmtId="0" fontId="22" fillId="12" borderId="38" xfId="0" applyFont="1" applyFill="1" applyBorder="1" applyAlignment="1">
      <alignment horizontal="center" vertical="center" textRotation="255"/>
    </xf>
    <xf numFmtId="0" fontId="4" fillId="12" borderId="1" xfId="0" applyFont="1" applyFill="1" applyBorder="1" applyAlignment="1">
      <alignment horizontal="center" vertical="center" textRotation="255"/>
    </xf>
    <xf numFmtId="0" fontId="3" fillId="12" borderId="1" xfId="0" applyFont="1" applyFill="1" applyBorder="1" applyAlignment="1">
      <alignment horizontal="center" vertical="center"/>
    </xf>
    <xf numFmtId="0" fontId="1" fillId="5" borderId="4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38" xfId="0" applyFont="1" applyFill="1" applyBorder="1"/>
    <xf numFmtId="0" fontId="1" fillId="5" borderId="26" xfId="0" applyFont="1" applyFill="1" applyBorder="1"/>
    <xf numFmtId="0" fontId="1" fillId="11" borderId="41" xfId="0" applyFont="1" applyFill="1" applyBorder="1"/>
    <xf numFmtId="0" fontId="1" fillId="11" borderId="1" xfId="0" applyFont="1" applyFill="1" applyBorder="1"/>
    <xf numFmtId="174" fontId="1" fillId="11" borderId="1" xfId="0" applyNumberFormat="1" applyFont="1" applyFill="1" applyBorder="1"/>
    <xf numFmtId="8" fontId="1" fillId="11" borderId="1" xfId="0" applyNumberFormat="1" applyFont="1" applyFill="1" applyBorder="1"/>
    <xf numFmtId="0" fontId="1" fillId="11" borderId="38" xfId="0" applyFont="1" applyFill="1" applyBorder="1"/>
    <xf numFmtId="0" fontId="1" fillId="11" borderId="26" xfId="0" applyFont="1" applyFill="1" applyBorder="1"/>
    <xf numFmtId="0" fontId="1" fillId="12" borderId="41" xfId="0" applyFont="1" applyFill="1" applyBorder="1"/>
    <xf numFmtId="0" fontId="1" fillId="12" borderId="1" xfId="0" applyFont="1" applyFill="1" applyBorder="1"/>
    <xf numFmtId="2" fontId="1" fillId="12" borderId="1" xfId="0" applyNumberFormat="1" applyFont="1" applyFill="1" applyBorder="1"/>
    <xf numFmtId="2" fontId="1" fillId="15" borderId="1" xfId="0" applyNumberFormat="1" applyFont="1" applyFill="1" applyBorder="1"/>
    <xf numFmtId="4" fontId="1" fillId="12" borderId="1" xfId="0" applyNumberFormat="1" applyFont="1" applyFill="1" applyBorder="1"/>
    <xf numFmtId="0" fontId="1" fillId="12" borderId="38" xfId="0" applyFont="1" applyFill="1" applyBorder="1"/>
    <xf numFmtId="0" fontId="1" fillId="16" borderId="1" xfId="0" applyFont="1" applyFill="1" applyBorder="1"/>
    <xf numFmtId="0" fontId="1" fillId="0" borderId="19" xfId="0" applyFont="1" applyFill="1" applyBorder="1"/>
    <xf numFmtId="0" fontId="1" fillId="15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38" xfId="0" applyFont="1" applyFill="1" applyBorder="1"/>
    <xf numFmtId="172" fontId="1" fillId="0" borderId="20" xfId="0" applyNumberFormat="1" applyFont="1" applyFill="1" applyBorder="1"/>
    <xf numFmtId="0" fontId="1" fillId="13" borderId="19" xfId="0" applyFont="1" applyFill="1" applyBorder="1"/>
    <xf numFmtId="0" fontId="1" fillId="13" borderId="1" xfId="0" applyFont="1" applyFill="1" applyBorder="1"/>
    <xf numFmtId="0" fontId="1" fillId="13" borderId="26" xfId="0" applyFont="1" applyFill="1" applyBorder="1"/>
    <xf numFmtId="0" fontId="1" fillId="0" borderId="41" xfId="0" applyFont="1" applyBorder="1"/>
    <xf numFmtId="0" fontId="1" fillId="0" borderId="26" xfId="0" applyFont="1" applyBorder="1"/>
    <xf numFmtId="0" fontId="1" fillId="0" borderId="0" xfId="0" applyFont="1"/>
    <xf numFmtId="1" fontId="1" fillId="5" borderId="1" xfId="0" applyNumberFormat="1" applyFont="1" applyFill="1" applyBorder="1" applyAlignment="1">
      <alignment horizontal="right"/>
    </xf>
    <xf numFmtId="2" fontId="1" fillId="0" borderId="38" xfId="0" applyNumberFormat="1" applyFont="1" applyFill="1" applyBorder="1"/>
    <xf numFmtId="0" fontId="1" fillId="13" borderId="11" xfId="0" applyFont="1" applyFill="1" applyBorder="1"/>
    <xf numFmtId="0" fontId="1" fillId="13" borderId="10" xfId="0" applyFont="1" applyFill="1" applyBorder="1"/>
    <xf numFmtId="0" fontId="1" fillId="13" borderId="42" xfId="0" applyFont="1" applyFill="1" applyBorder="1"/>
    <xf numFmtId="0" fontId="1" fillId="13" borderId="33" xfId="0" applyFont="1" applyFill="1" applyBorder="1"/>
    <xf numFmtId="0" fontId="1" fillId="13" borderId="30" xfId="0" applyFont="1" applyFill="1" applyBorder="1"/>
    <xf numFmtId="0" fontId="1" fillId="13" borderId="31" xfId="0" applyFont="1" applyFill="1" applyBorder="1"/>
    <xf numFmtId="0" fontId="1" fillId="15" borderId="20" xfId="0" applyFont="1" applyFill="1" applyBorder="1"/>
    <xf numFmtId="0" fontId="1" fillId="0" borderId="57" xfId="0" applyFont="1" applyBorder="1"/>
    <xf numFmtId="0" fontId="1" fillId="0" borderId="29" xfId="0" applyFont="1" applyBorder="1"/>
    <xf numFmtId="0" fontId="1" fillId="12" borderId="1" xfId="0" applyFont="1" applyFill="1" applyBorder="1" applyAlignment="1">
      <alignment horizontal="right"/>
    </xf>
    <xf numFmtId="0" fontId="0" fillId="6" borderId="1" xfId="0" applyFill="1" applyBorder="1"/>
    <xf numFmtId="0" fontId="36" fillId="18" borderId="79" xfId="5" applyFont="1" applyFill="1" applyBorder="1" applyAlignment="1">
      <alignment horizontal="center"/>
    </xf>
    <xf numFmtId="0" fontId="36" fillId="18" borderId="95" xfId="5" applyFont="1" applyFill="1" applyBorder="1" applyAlignment="1">
      <alignment horizontal="center"/>
    </xf>
    <xf numFmtId="0" fontId="36" fillId="18" borderId="83" xfId="5" applyFont="1" applyFill="1" applyBorder="1" applyAlignment="1">
      <alignment horizontal="center"/>
    </xf>
    <xf numFmtId="0" fontId="1" fillId="0" borderId="62" xfId="5" applyBorder="1"/>
    <xf numFmtId="0" fontId="1" fillId="0" borderId="27" xfId="5" applyBorder="1"/>
    <xf numFmtId="0" fontId="1" fillId="0" borderId="63" xfId="5" applyBorder="1"/>
    <xf numFmtId="0" fontId="1" fillId="0" borderId="20" xfId="5" applyBorder="1"/>
    <xf numFmtId="0" fontId="1" fillId="17" borderId="20" xfId="5" quotePrefix="1" applyFill="1" applyBorder="1" applyAlignment="1">
      <alignment horizontal="center"/>
    </xf>
    <xf numFmtId="0" fontId="1" fillId="17" borderId="1" xfId="5" quotePrefix="1" applyFill="1" applyBorder="1" applyAlignment="1">
      <alignment horizontal="center"/>
    </xf>
    <xf numFmtId="4" fontId="10" fillId="7" borderId="0" xfId="0" applyNumberFormat="1" applyFont="1" applyFill="1" applyAlignment="1">
      <alignment horizontal="center"/>
    </xf>
    <xf numFmtId="4" fontId="9" fillId="7" borderId="0" xfId="0" applyNumberFormat="1" applyFont="1" applyFill="1" applyAlignment="1">
      <alignment horizontal="center"/>
    </xf>
    <xf numFmtId="0" fontId="8" fillId="7" borderId="68" xfId="0" applyFont="1" applyFill="1" applyBorder="1" applyAlignment="1">
      <alignment horizontal="center" vertical="center"/>
    </xf>
    <xf numFmtId="0" fontId="8" fillId="7" borderId="67" xfId="0" applyFont="1" applyFill="1" applyBorder="1" applyAlignment="1">
      <alignment horizontal="center" vertical="center"/>
    </xf>
    <xf numFmtId="0" fontId="8" fillId="7" borderId="107" xfId="0" applyFont="1" applyFill="1" applyBorder="1" applyAlignment="1">
      <alignment horizontal="center" vertical="center"/>
    </xf>
    <xf numFmtId="4" fontId="8" fillId="2" borderId="106" xfId="0" applyNumberFormat="1" applyFont="1" applyFill="1" applyBorder="1" applyAlignment="1">
      <alignment horizontal="center"/>
    </xf>
    <xf numFmtId="4" fontId="8" fillId="2" borderId="58" xfId="0" applyNumberFormat="1" applyFont="1" applyFill="1" applyBorder="1" applyAlignment="1">
      <alignment horizontal="center"/>
    </xf>
    <xf numFmtId="0" fontId="8" fillId="17" borderId="68" xfId="0" applyFont="1" applyFill="1" applyBorder="1" applyAlignment="1">
      <alignment horizontal="center"/>
    </xf>
    <xf numFmtId="0" fontId="8" fillId="17" borderId="106" xfId="0" applyFont="1" applyFill="1" applyBorder="1" applyAlignment="1">
      <alignment horizontal="center"/>
    </xf>
    <xf numFmtId="0" fontId="8" fillId="17" borderId="58" xfId="0" applyFont="1" applyFill="1" applyBorder="1" applyAlignment="1">
      <alignment horizontal="center"/>
    </xf>
    <xf numFmtId="164" fontId="8" fillId="7" borderId="79" xfId="0" applyNumberFormat="1" applyFont="1" applyFill="1" applyBorder="1" applyAlignment="1">
      <alignment horizontal="center"/>
    </xf>
    <xf numFmtId="164" fontId="8" fillId="7" borderId="95" xfId="0" applyNumberFormat="1" applyFont="1" applyFill="1" applyBorder="1" applyAlignment="1">
      <alignment horizontal="center"/>
    </xf>
    <xf numFmtId="164" fontId="8" fillId="7" borderId="83" xfId="0" applyNumberFormat="1" applyFont="1" applyFill="1" applyBorder="1" applyAlignment="1">
      <alignment horizontal="center"/>
    </xf>
    <xf numFmtId="4" fontId="11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40" fontId="4" fillId="7" borderId="0" xfId="0" applyNumberFormat="1" applyFont="1" applyFill="1" applyAlignment="1">
      <alignment horizontal="center"/>
    </xf>
    <xf numFmtId="40" fontId="3" fillId="7" borderId="0" xfId="0" applyNumberFormat="1" applyFont="1" applyFill="1" applyAlignment="1">
      <alignment horizontal="center"/>
    </xf>
    <xf numFmtId="16" fontId="8" fillId="8" borderId="57" xfId="0" applyNumberFormat="1" applyFont="1" applyFill="1" applyBorder="1" applyAlignment="1">
      <alignment horizontal="center"/>
    </xf>
    <xf numFmtId="16" fontId="8" fillId="8" borderId="28" xfId="0" applyNumberFormat="1" applyFont="1" applyFill="1" applyBorder="1" applyAlignment="1">
      <alignment horizontal="center"/>
    </xf>
    <xf numFmtId="16" fontId="8" fillId="8" borderId="29" xfId="0" applyNumberFormat="1" applyFont="1" applyFill="1" applyBorder="1" applyAlignment="1">
      <alignment horizontal="center"/>
    </xf>
    <xf numFmtId="40" fontId="3" fillId="7" borderId="38" xfId="0" applyNumberFormat="1" applyFont="1" applyFill="1" applyBorder="1" applyAlignment="1">
      <alignment horizontal="center"/>
    </xf>
    <xf numFmtId="40" fontId="3" fillId="7" borderId="39" xfId="0" applyNumberFormat="1" applyFont="1" applyFill="1" applyBorder="1" applyAlignment="1">
      <alignment horizontal="center"/>
    </xf>
    <xf numFmtId="40" fontId="0" fillId="8" borderId="38" xfId="0" applyNumberFormat="1" applyFill="1" applyBorder="1" applyAlignment="1">
      <alignment horizontal="center" vertical="center"/>
    </xf>
    <xf numFmtId="40" fontId="0" fillId="8" borderId="19" xfId="0" applyNumberFormat="1" applyFill="1" applyBorder="1" applyAlignment="1">
      <alignment horizontal="center" vertical="center"/>
    </xf>
    <xf numFmtId="40" fontId="0" fillId="17" borderId="1" xfId="0" applyNumberFormat="1" applyFill="1" applyBorder="1" applyAlignment="1">
      <alignment horizontal="center" vertical="center"/>
    </xf>
    <xf numFmtId="40" fontId="4" fillId="7" borderId="38" xfId="3" applyNumberFormat="1" applyFont="1" applyFill="1" applyBorder="1" applyAlignment="1">
      <alignment horizontal="center" vertical="center"/>
    </xf>
    <xf numFmtId="40" fontId="4" fillId="7" borderId="19" xfId="3" applyNumberFormat="1" applyFont="1" applyFill="1" applyBorder="1" applyAlignment="1">
      <alignment horizontal="center" vertical="center"/>
    </xf>
    <xf numFmtId="40" fontId="3" fillId="7" borderId="19" xfId="0" applyNumberFormat="1" applyFont="1" applyFill="1" applyBorder="1" applyAlignment="1">
      <alignment horizontal="center"/>
    </xf>
    <xf numFmtId="16" fontId="8" fillId="8" borderId="108" xfId="0" applyNumberFormat="1" applyFont="1" applyFill="1" applyBorder="1" applyAlignment="1">
      <alignment horizontal="center"/>
    </xf>
    <xf numFmtId="16" fontId="8" fillId="8" borderId="13" xfId="0" applyNumberFormat="1" applyFont="1" applyFill="1" applyBorder="1" applyAlignment="1">
      <alignment horizontal="center"/>
    </xf>
    <xf numFmtId="16" fontId="8" fillId="8" borderId="109" xfId="0" applyNumberFormat="1" applyFont="1" applyFill="1" applyBorder="1" applyAlignment="1">
      <alignment horizontal="center"/>
    </xf>
    <xf numFmtId="40" fontId="8" fillId="8" borderId="38" xfId="0" applyNumberFormat="1" applyFont="1" applyFill="1" applyBorder="1" applyAlignment="1">
      <alignment horizontal="center" vertical="center"/>
    </xf>
    <xf numFmtId="40" fontId="8" fillId="8" borderId="19" xfId="0" applyNumberFormat="1" applyFont="1" applyFill="1" applyBorder="1" applyAlignment="1">
      <alignment horizontal="center" vertical="center"/>
    </xf>
    <xf numFmtId="40" fontId="8" fillId="17" borderId="1" xfId="0" applyNumberFormat="1" applyFont="1" applyFill="1" applyBorder="1" applyAlignment="1">
      <alignment horizontal="center" vertical="center"/>
    </xf>
    <xf numFmtId="40" fontId="5" fillId="7" borderId="0" xfId="0" applyNumberFormat="1" applyFont="1" applyFill="1" applyAlignment="1">
      <alignment horizontal="center"/>
    </xf>
    <xf numFmtId="40" fontId="6" fillId="7" borderId="0" xfId="0" applyNumberFormat="1" applyFont="1" applyFill="1" applyAlignment="1">
      <alignment horizontal="center"/>
    </xf>
    <xf numFmtId="40" fontId="3" fillId="7" borderId="38" xfId="3" applyNumberFormat="1" applyFont="1" applyFill="1" applyBorder="1" applyAlignment="1">
      <alignment horizontal="center" vertical="center"/>
    </xf>
    <xf numFmtId="40" fontId="3" fillId="7" borderId="19" xfId="3" applyNumberFormat="1" applyFont="1" applyFill="1" applyBorder="1" applyAlignment="1">
      <alignment horizontal="center" vertical="center"/>
    </xf>
    <xf numFmtId="16" fontId="8" fillId="8" borderId="60" xfId="0" applyNumberFormat="1" applyFont="1" applyFill="1" applyBorder="1" applyAlignment="1">
      <alignment horizontal="center"/>
    </xf>
    <xf numFmtId="16" fontId="8" fillId="8" borderId="37" xfId="0" applyNumberFormat="1" applyFont="1" applyFill="1" applyBorder="1" applyAlignment="1">
      <alignment horizontal="center"/>
    </xf>
    <xf numFmtId="16" fontId="8" fillId="8" borderId="80" xfId="0" applyNumberFormat="1" applyFont="1" applyFill="1" applyBorder="1" applyAlignment="1">
      <alignment horizontal="center"/>
    </xf>
    <xf numFmtId="40" fontId="8" fillId="8" borderId="1" xfId="0" applyNumberFormat="1" applyFont="1" applyFill="1" applyBorder="1" applyAlignment="1">
      <alignment horizontal="center" vertical="center"/>
    </xf>
    <xf numFmtId="40" fontId="8" fillId="2" borderId="1" xfId="0" applyNumberFormat="1" applyFont="1" applyFill="1" applyBorder="1" applyAlignment="1">
      <alignment horizontal="justify" vertical="center"/>
    </xf>
    <xf numFmtId="40" fontId="3" fillId="0" borderId="38" xfId="0" applyNumberFormat="1" applyFont="1" applyBorder="1" applyAlignment="1">
      <alignment horizontal="center"/>
    </xf>
    <xf numFmtId="40" fontId="3" fillId="0" borderId="39" xfId="0" applyNumberFormat="1" applyFont="1" applyBorder="1" applyAlignment="1">
      <alignment horizontal="center"/>
    </xf>
    <xf numFmtId="40" fontId="3" fillId="0" borderId="19" xfId="0" applyNumberFormat="1" applyFont="1" applyBorder="1" applyAlignment="1">
      <alignment horizontal="center"/>
    </xf>
    <xf numFmtId="0" fontId="0" fillId="7" borderId="84" xfId="0" applyNumberFormat="1" applyFill="1" applyBorder="1" applyAlignment="1">
      <alignment horizontal="center"/>
    </xf>
    <xf numFmtId="0" fontId="0" fillId="7" borderId="106" xfId="0" applyNumberFormat="1" applyFill="1" applyBorder="1" applyAlignment="1">
      <alignment horizontal="center"/>
    </xf>
    <xf numFmtId="0" fontId="0" fillId="7" borderId="70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20" fillId="9" borderId="110" xfId="0" applyFont="1" applyFill="1" applyBorder="1" applyAlignment="1">
      <alignment horizontal="center"/>
    </xf>
    <xf numFmtId="0" fontId="20" fillId="9" borderId="111" xfId="0" applyFont="1" applyFill="1" applyBorder="1" applyAlignment="1">
      <alignment horizontal="center"/>
    </xf>
    <xf numFmtId="0" fontId="20" fillId="9" borderId="112" xfId="0" applyFont="1" applyFill="1" applyBorder="1" applyAlignment="1">
      <alignment horizontal="center"/>
    </xf>
    <xf numFmtId="0" fontId="20" fillId="9" borderId="11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7" fontId="14" fillId="0" borderId="4" xfId="0" applyNumberFormat="1" applyFont="1" applyFill="1" applyBorder="1" applyAlignment="1">
      <alignment horizontal="center"/>
    </xf>
    <xf numFmtId="167" fontId="14" fillId="0" borderId="5" xfId="0" applyNumberFormat="1" applyFont="1" applyFill="1" applyBorder="1" applyAlignment="1">
      <alignment horizontal="center"/>
    </xf>
    <xf numFmtId="15" fontId="14" fillId="2" borderId="4" xfId="0" applyNumberFormat="1" applyFont="1" applyFill="1" applyBorder="1" applyAlignment="1">
      <alignment horizontal="center"/>
    </xf>
    <xf numFmtId="15" fontId="14" fillId="2" borderId="11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14" xfId="0" applyFont="1" applyFill="1" applyBorder="1" applyAlignment="1">
      <alignment horizontal="center"/>
    </xf>
    <xf numFmtId="0" fontId="8" fillId="2" borderId="111" xfId="0" applyFont="1" applyFill="1" applyBorder="1" applyAlignment="1">
      <alignment horizontal="center"/>
    </xf>
    <xf numFmtId="0" fontId="0" fillId="2" borderId="43" xfId="0" applyFill="1" applyBorder="1" applyAlignment="1">
      <alignment horizontal="justify" vertical="center"/>
    </xf>
    <xf numFmtId="0" fontId="0" fillId="2" borderId="20" xfId="0" applyFill="1" applyBorder="1" applyAlignment="1">
      <alignment horizontal="justify" vertical="center"/>
    </xf>
    <xf numFmtId="4" fontId="0" fillId="2" borderId="6" xfId="0" applyNumberFormat="1" applyFill="1" applyBorder="1" applyAlignment="1">
      <alignment horizontal="center"/>
    </xf>
    <xf numFmtId="0" fontId="8" fillId="3" borderId="114" xfId="0" applyFont="1" applyFill="1" applyBorder="1" applyAlignment="1">
      <alignment horizontal="center"/>
    </xf>
    <xf numFmtId="0" fontId="8" fillId="3" borderId="111" xfId="0" applyFont="1" applyFill="1" applyBorder="1" applyAlignment="1">
      <alignment horizontal="center"/>
    </xf>
    <xf numFmtId="0" fontId="0" fillId="4" borderId="115" xfId="0" applyFill="1" applyBorder="1" applyAlignment="1">
      <alignment horizontal="justify" vertical="center"/>
    </xf>
    <xf numFmtId="0" fontId="0" fillId="4" borderId="48" xfId="0" applyFill="1" applyBorder="1" applyAlignment="1">
      <alignment horizontal="justify" vertical="center"/>
    </xf>
    <xf numFmtId="10" fontId="9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8" fillId="2" borderId="112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0" fillId="12" borderId="116" xfId="0" applyFill="1" applyBorder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8" fillId="6" borderId="64" xfId="0" applyFont="1" applyFill="1" applyBorder="1" applyAlignment="1">
      <alignment horizontal="center"/>
    </xf>
    <xf numFmtId="0" fontId="8" fillId="6" borderId="66" xfId="0" applyFont="1" applyFill="1" applyBorder="1" applyAlignment="1">
      <alignment horizontal="center"/>
    </xf>
    <xf numFmtId="0" fontId="0" fillId="13" borderId="106" xfId="0" applyFill="1" applyBorder="1" applyAlignment="1">
      <alignment horizontal="center"/>
    </xf>
    <xf numFmtId="0" fontId="0" fillId="13" borderId="58" xfId="0" applyFill="1" applyBorder="1" applyAlignment="1">
      <alignment horizontal="center"/>
    </xf>
    <xf numFmtId="0" fontId="3" fillId="0" borderId="85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0" fillId="5" borderId="68" xfId="0" applyFill="1" applyBorder="1" applyAlignment="1">
      <alignment horizontal="center"/>
    </xf>
    <xf numFmtId="0" fontId="0" fillId="5" borderId="106" xfId="0" applyFill="1" applyBorder="1" applyAlignment="1">
      <alignment horizontal="center"/>
    </xf>
    <xf numFmtId="0" fontId="0" fillId="5" borderId="58" xfId="0" applyFill="1" applyBorder="1" applyAlignment="1">
      <alignment horizontal="center"/>
    </xf>
    <xf numFmtId="0" fontId="0" fillId="11" borderId="5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84" xfId="0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" fillId="0" borderId="79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0" fillId="0" borderId="109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37" fillId="10" borderId="1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5"/>
    <cellStyle name="Porcentaje" xfId="3" builtinId="5"/>
    <cellStyle name="Porcentual 3" xfId="4"/>
  </cellStyles>
  <dxfs count="168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142875</xdr:rowOff>
        </xdr:from>
        <xdr:to>
          <xdr:col>1</xdr:col>
          <xdr:colOff>66675</xdr:colOff>
          <xdr:row>7</xdr:row>
          <xdr:rowOff>47625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1</xdr:row>
          <xdr:rowOff>38100</xdr:rowOff>
        </xdr:from>
        <xdr:to>
          <xdr:col>0</xdr:col>
          <xdr:colOff>1171575</xdr:colOff>
          <xdr:row>6</xdr:row>
          <xdr:rowOff>19050</xdr:rowOff>
        </xdr:to>
        <xdr:sp macro="" textlink="">
          <xdr:nvSpPr>
            <xdr:cNvPr id="5311" name="Object 1215" hidden="1">
              <a:extLst>
                <a:ext uri="{63B3BB69-23CF-44E3-9099-C40C66FF867C}">
                  <a14:compatExt spid="_x0000_s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0</xdr:row>
          <xdr:rowOff>104775</xdr:rowOff>
        </xdr:from>
        <xdr:to>
          <xdr:col>1</xdr:col>
          <xdr:colOff>523875</xdr:colOff>
          <xdr:row>5</xdr:row>
          <xdr:rowOff>85725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342900</xdr:colOff>
          <xdr:row>1</xdr:row>
          <xdr:rowOff>38100</xdr:rowOff>
        </xdr:from>
        <xdr:to>
          <xdr:col>38</xdr:col>
          <xdr:colOff>381000</xdr:colOff>
          <xdr:row>6</xdr:row>
          <xdr:rowOff>19050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57150</xdr:colOff>
      <xdr:row>44</xdr:row>
      <xdr:rowOff>95250</xdr:rowOff>
    </xdr:to>
    <xdr:pic>
      <xdr:nvPicPr>
        <xdr:cNvPr id="3074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524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133350</xdr:colOff>
      <xdr:row>44</xdr:row>
      <xdr:rowOff>95250</xdr:rowOff>
    </xdr:to>
    <xdr:pic>
      <xdr:nvPicPr>
        <xdr:cNvPr id="31767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247650</xdr:colOff>
      <xdr:row>44</xdr:row>
      <xdr:rowOff>95250</xdr:rowOff>
    </xdr:to>
    <xdr:pic>
      <xdr:nvPicPr>
        <xdr:cNvPr id="3279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429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76200</xdr:colOff>
      <xdr:row>44</xdr:row>
      <xdr:rowOff>95250</xdr:rowOff>
    </xdr:to>
    <xdr:pic>
      <xdr:nvPicPr>
        <xdr:cNvPr id="3381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715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228600</xdr:colOff>
      <xdr:row>44</xdr:row>
      <xdr:rowOff>95250</xdr:rowOff>
    </xdr:to>
    <xdr:pic>
      <xdr:nvPicPr>
        <xdr:cNvPr id="3483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239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3586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133350</xdr:colOff>
      <xdr:row>44</xdr:row>
      <xdr:rowOff>95250</xdr:rowOff>
    </xdr:to>
    <xdr:pic>
      <xdr:nvPicPr>
        <xdr:cNvPr id="36887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3791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3893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3995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114300</xdr:colOff>
      <xdr:row>44</xdr:row>
      <xdr:rowOff>95250</xdr:rowOff>
    </xdr:to>
    <xdr:pic>
      <xdr:nvPicPr>
        <xdr:cNvPr id="40983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9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85725</xdr:colOff>
      <xdr:row>44</xdr:row>
      <xdr:rowOff>95250</xdr:rowOff>
    </xdr:to>
    <xdr:pic>
      <xdr:nvPicPr>
        <xdr:cNvPr id="42007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810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104775</xdr:colOff>
      <xdr:row>44</xdr:row>
      <xdr:rowOff>95250</xdr:rowOff>
    </xdr:to>
    <xdr:pic>
      <xdr:nvPicPr>
        <xdr:cNvPr id="4303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4405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3.doc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4.doc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5.doc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tabSelected="1" zoomScale="85" zoomScaleNormal="85" workbookViewId="0"/>
  </sheetViews>
  <sheetFormatPr baseColWidth="10" defaultRowHeight="12.75" x14ac:dyDescent="0.2"/>
  <cols>
    <col min="1" max="1" width="14.140625" style="114" bestFit="1" customWidth="1"/>
    <col min="2" max="5" width="10.7109375" style="114" customWidth="1"/>
    <col min="6" max="6" width="12.7109375" style="114" customWidth="1"/>
    <col min="7" max="7" width="14.5703125" style="114" customWidth="1"/>
    <col min="8" max="9" width="12.7109375" style="114" customWidth="1"/>
    <col min="10" max="10" width="14.28515625" style="114" customWidth="1"/>
    <col min="11" max="12" width="12.7109375" style="114" customWidth="1"/>
    <col min="13" max="14" width="4.140625" style="114" customWidth="1"/>
    <col min="15" max="15" width="11.5703125" style="114" bestFit="1" customWidth="1"/>
    <col min="16" max="16" width="12.85546875" style="114" bestFit="1" customWidth="1"/>
    <col min="17" max="17" width="12.5703125" style="114" customWidth="1"/>
    <col min="18" max="18" width="4.140625" style="114" customWidth="1"/>
    <col min="19" max="19" width="14.140625" style="114" customWidth="1"/>
    <col min="20" max="20" width="15" style="114" bestFit="1" customWidth="1"/>
    <col min="21" max="21" width="3.7109375" style="114" customWidth="1"/>
    <col min="22" max="24" width="12.42578125" style="114" bestFit="1" customWidth="1"/>
    <col min="25" max="30" width="11.42578125" style="114"/>
    <col min="31" max="31" width="11.42578125" style="598"/>
    <col min="32" max="32" width="25.7109375" style="589" bestFit="1" customWidth="1"/>
    <col min="33" max="33" width="9.28515625" style="589" customWidth="1"/>
    <col min="34" max="35" width="14" style="589" customWidth="1"/>
    <col min="36" max="36" width="14.28515625" style="589" bestFit="1" customWidth="1"/>
    <col min="37" max="42" width="11.7109375" style="589" customWidth="1"/>
    <col min="43" max="55" width="11.42578125" style="589"/>
    <col min="56" max="16384" width="11.42578125" style="114"/>
  </cols>
  <sheetData>
    <row r="2" spans="1:42" ht="13.5" thickBot="1" x14ac:dyDescent="0.25">
      <c r="AE2" s="629"/>
      <c r="AF2" s="630"/>
      <c r="AG2" s="630"/>
      <c r="AH2" s="630"/>
      <c r="AI2" s="630"/>
      <c r="AJ2" s="631" t="s">
        <v>199</v>
      </c>
      <c r="AK2" s="630"/>
      <c r="AL2" s="630"/>
      <c r="AM2" s="630"/>
      <c r="AN2" s="630"/>
      <c r="AO2" s="630"/>
      <c r="AP2" s="630"/>
    </row>
    <row r="3" spans="1:42" ht="42.95" customHeight="1" thickBot="1" x14ac:dyDescent="0.25">
      <c r="A3" s="556" t="s">
        <v>75</v>
      </c>
      <c r="B3" s="474" t="s">
        <v>44</v>
      </c>
      <c r="C3" s="475" t="s">
        <v>140</v>
      </c>
      <c r="D3" s="474" t="s">
        <v>190</v>
      </c>
      <c r="E3" s="474"/>
      <c r="F3" s="475" t="s">
        <v>197</v>
      </c>
      <c r="G3" s="475" t="s">
        <v>191</v>
      </c>
      <c r="H3" s="475" t="s">
        <v>141</v>
      </c>
      <c r="I3" s="557"/>
      <c r="J3" s="477" t="s">
        <v>198</v>
      </c>
      <c r="K3" s="558" t="s">
        <v>192</v>
      </c>
      <c r="L3" s="559" t="s">
        <v>193</v>
      </c>
      <c r="O3" s="560" t="s">
        <v>161</v>
      </c>
      <c r="P3" s="561" t="s">
        <v>162</v>
      </c>
      <c r="Q3" s="562" t="s">
        <v>163</v>
      </c>
      <c r="S3" s="481" t="s">
        <v>164</v>
      </c>
      <c r="T3" s="482" t="s">
        <v>165</v>
      </c>
      <c r="V3" s="479" t="s">
        <v>166</v>
      </c>
      <c r="W3" s="563" t="s">
        <v>167</v>
      </c>
      <c r="X3" s="481" t="s">
        <v>168</v>
      </c>
      <c r="AE3" s="629"/>
      <c r="AF3" s="632" t="s">
        <v>200</v>
      </c>
      <c r="AG3" s="633" t="s">
        <v>150</v>
      </c>
      <c r="AH3" s="634" t="s">
        <v>213</v>
      </c>
      <c r="AI3" s="635" t="s">
        <v>214</v>
      </c>
      <c r="AJ3" s="636" t="s">
        <v>215</v>
      </c>
      <c r="AK3" s="630"/>
      <c r="AL3" s="630"/>
      <c r="AM3" s="630"/>
      <c r="AN3" s="630"/>
      <c r="AO3" s="630"/>
      <c r="AP3" s="630"/>
    </row>
    <row r="4" spans="1:42" ht="13.5" thickBot="1" x14ac:dyDescent="0.25">
      <c r="A4" s="486" t="s">
        <v>278</v>
      </c>
      <c r="B4" s="488">
        <v>20130301</v>
      </c>
      <c r="C4" s="487">
        <v>0.375</v>
      </c>
      <c r="D4" s="564">
        <v>1440</v>
      </c>
      <c r="E4" s="488"/>
      <c r="F4" s="489">
        <v>5354.0766599999997</v>
      </c>
      <c r="G4" s="489">
        <v>19.397694000000001</v>
      </c>
      <c r="H4" s="488">
        <v>61.389488</v>
      </c>
      <c r="I4" s="491"/>
      <c r="J4" s="565">
        <v>78.835999999999999</v>
      </c>
      <c r="K4" s="566">
        <v>815577.75</v>
      </c>
      <c r="L4" s="567">
        <v>0</v>
      </c>
      <c r="N4" s="552" t="s">
        <v>160</v>
      </c>
      <c r="O4" s="568"/>
      <c r="P4" s="569"/>
      <c r="Q4" s="570"/>
      <c r="S4" s="571"/>
      <c r="T4" s="571"/>
      <c r="V4" s="572"/>
      <c r="W4" s="573"/>
      <c r="X4" s="574"/>
      <c r="AE4" s="629" t="str">
        <f>LEFT(J4,8)</f>
        <v>78.836</v>
      </c>
      <c r="AF4" s="637"/>
      <c r="AG4" s="638"/>
      <c r="AH4" s="639"/>
      <c r="AI4" s="640">
        <f>IFERROR(AE4*1,0)</f>
        <v>78.835999999999999</v>
      </c>
      <c r="AJ4" s="641">
        <f>(AI4-AH4)</f>
        <v>78.835999999999999</v>
      </c>
      <c r="AK4" s="630"/>
      <c r="AL4" s="630"/>
      <c r="AM4" s="630"/>
      <c r="AN4" s="630"/>
      <c r="AO4" s="630"/>
      <c r="AP4" s="630"/>
    </row>
    <row r="5" spans="1:42" x14ac:dyDescent="0.2">
      <c r="A5" s="502" t="s">
        <v>278</v>
      </c>
      <c r="B5" s="504">
        <v>20130302</v>
      </c>
      <c r="C5" s="503">
        <v>0.375</v>
      </c>
      <c r="D5" s="575">
        <v>1440</v>
      </c>
      <c r="E5" s="504"/>
      <c r="F5" s="505">
        <v>5522.2158200000003</v>
      </c>
      <c r="G5" s="505">
        <v>19.592462999999999</v>
      </c>
      <c r="H5" s="504">
        <v>63.041148999999997</v>
      </c>
      <c r="I5" s="507"/>
      <c r="J5" s="576">
        <v>85.528999999999996</v>
      </c>
      <c r="K5" s="577">
        <v>815577.75</v>
      </c>
      <c r="L5" s="578">
        <v>0</v>
      </c>
      <c r="N5" s="114">
        <v>1</v>
      </c>
      <c r="O5" s="509">
        <f>P5/4.1868</f>
        <v>8624.7192114860518</v>
      </c>
      <c r="P5" s="510">
        <f>'Balance de Energía'!AR11</f>
        <v>36109.974394649798</v>
      </c>
      <c r="Q5" s="511">
        <f>O5*0.11237</f>
        <v>969.15969779468765</v>
      </c>
      <c r="S5" s="579">
        <f>J5*1000</f>
        <v>85529</v>
      </c>
      <c r="T5" s="580">
        <f>S5*35.31467</f>
        <v>3020428.4104300002</v>
      </c>
      <c r="V5" s="494">
        <f>S5*O5/1000000</f>
        <v>737.66360943919051</v>
      </c>
      <c r="W5" s="495">
        <f>P5*S5/1000000</f>
        <v>3088.4500000000025</v>
      </c>
      <c r="X5" s="496">
        <f>T5*Q5/1000000</f>
        <v>2927.2774854628278</v>
      </c>
      <c r="AE5" s="629" t="str">
        <f t="shared" ref="AE5:AE35" si="0">LEFT(J5,8)</f>
        <v>85.529</v>
      </c>
      <c r="AF5" s="642"/>
      <c r="AG5" s="643"/>
      <c r="AH5" s="644"/>
      <c r="AI5" s="645">
        <f t="shared" ref="AI5:AI35" si="1">IFERROR(AE5*1,0)</f>
        <v>85.528999999999996</v>
      </c>
      <c r="AJ5" s="646">
        <f t="shared" ref="AJ5:AJ35" si="2">(AI5-AH5)</f>
        <v>85.528999999999996</v>
      </c>
      <c r="AK5" s="630"/>
      <c r="AL5" s="630"/>
      <c r="AM5" s="630"/>
      <c r="AN5" s="630"/>
      <c r="AO5" s="630"/>
      <c r="AP5" s="630"/>
    </row>
    <row r="6" spans="1:42" x14ac:dyDescent="0.2">
      <c r="A6" s="502" t="s">
        <v>278</v>
      </c>
      <c r="B6" s="504">
        <v>20130303</v>
      </c>
      <c r="C6" s="503">
        <v>0.375</v>
      </c>
      <c r="D6" s="575">
        <v>1440</v>
      </c>
      <c r="E6" s="504"/>
      <c r="F6" s="505">
        <v>5386.6123049999997</v>
      </c>
      <c r="G6" s="505">
        <v>19.387761999999999</v>
      </c>
      <c r="H6" s="504">
        <v>61.389488</v>
      </c>
      <c r="I6" s="507"/>
      <c r="J6" s="576">
        <v>56.33</v>
      </c>
      <c r="K6" s="577">
        <v>815577.75</v>
      </c>
      <c r="L6" s="578">
        <v>0</v>
      </c>
      <c r="N6" s="114">
        <v>2</v>
      </c>
      <c r="O6" s="554">
        <f t="shared" ref="O6:O35" si="3">P6/4.1868</f>
        <v>8617.1639232164671</v>
      </c>
      <c r="P6" s="510">
        <f>'Balance de Energía'!AR12</f>
        <v>36078.341913722703</v>
      </c>
      <c r="Q6" s="511">
        <f t="shared" ref="Q6:Q35" si="4">O6*0.11237</f>
        <v>968.31071005183435</v>
      </c>
      <c r="S6" s="514">
        <f t="shared" ref="S6:S35" si="5">J6*1000</f>
        <v>56330</v>
      </c>
      <c r="T6" s="581">
        <f t="shared" ref="T6:T35" si="6">S6*35.31467</f>
        <v>1989275.3610999999</v>
      </c>
      <c r="V6" s="509">
        <f t="shared" ref="V6:V35" si="7">S6*O6/1000000</f>
        <v>485.40484379478357</v>
      </c>
      <c r="W6" s="510">
        <f t="shared" ref="W6:W35" si="8">P6*S6/1000000</f>
        <v>2032.2929999999997</v>
      </c>
      <c r="X6" s="511">
        <f t="shared" ref="X6:X35" si="9">T6*Q6/1000000</f>
        <v>1926.23663739536</v>
      </c>
      <c r="AE6" s="629" t="str">
        <f t="shared" si="0"/>
        <v>56.33</v>
      </c>
      <c r="AF6" s="642"/>
      <c r="AG6" s="643"/>
      <c r="AH6" s="644"/>
      <c r="AI6" s="645">
        <f t="shared" si="1"/>
        <v>56.33</v>
      </c>
      <c r="AJ6" s="646">
        <f t="shared" si="2"/>
        <v>56.33</v>
      </c>
      <c r="AK6" s="630"/>
      <c r="AL6" s="630"/>
      <c r="AM6" s="630"/>
      <c r="AN6" s="630"/>
      <c r="AO6" s="630"/>
      <c r="AP6" s="630"/>
    </row>
    <row r="7" spans="1:42" x14ac:dyDescent="0.2">
      <c r="A7" s="502" t="s">
        <v>278</v>
      </c>
      <c r="B7" s="504">
        <v>20130304</v>
      </c>
      <c r="C7" s="503">
        <v>0.375</v>
      </c>
      <c r="D7" s="575">
        <v>1440</v>
      </c>
      <c r="E7" s="504"/>
      <c r="F7" s="505">
        <v>5354.0766599999997</v>
      </c>
      <c r="G7" s="505">
        <v>19.303438</v>
      </c>
      <c r="H7" s="504">
        <v>61.389488</v>
      </c>
      <c r="I7" s="507"/>
      <c r="J7" s="576">
        <v>50.843000000000004</v>
      </c>
      <c r="K7" s="577">
        <v>815577.75</v>
      </c>
      <c r="L7" s="578">
        <v>0</v>
      </c>
      <c r="N7" s="114">
        <v>3</v>
      </c>
      <c r="O7" s="554">
        <f t="shared" si="3"/>
        <v>8640.1773784825637</v>
      </c>
      <c r="P7" s="510">
        <f>'Balance de Energía'!AR13</f>
        <v>36174.694648230798</v>
      </c>
      <c r="Q7" s="511">
        <f t="shared" si="4"/>
        <v>970.89673202008566</v>
      </c>
      <c r="S7" s="514">
        <f t="shared" si="5"/>
        <v>50843</v>
      </c>
      <c r="T7" s="581">
        <f t="shared" si="6"/>
        <v>1795503.7668099999</v>
      </c>
      <c r="V7" s="509">
        <f t="shared" si="7"/>
        <v>439.29253845418901</v>
      </c>
      <c r="W7" s="510">
        <f t="shared" si="8"/>
        <v>1839.2299999999984</v>
      </c>
      <c r="X7" s="511">
        <f t="shared" si="9"/>
        <v>1743.2487395255828</v>
      </c>
      <c r="AE7" s="629" t="str">
        <f t="shared" si="0"/>
        <v>50.843</v>
      </c>
      <c r="AF7" s="642"/>
      <c r="AG7" s="643"/>
      <c r="AH7" s="644"/>
      <c r="AI7" s="645">
        <f t="shared" si="1"/>
        <v>50.843000000000004</v>
      </c>
      <c r="AJ7" s="646">
        <f t="shared" si="2"/>
        <v>50.843000000000004</v>
      </c>
      <c r="AK7" s="630"/>
      <c r="AL7" s="630"/>
      <c r="AM7" s="630"/>
      <c r="AN7" s="630"/>
      <c r="AO7" s="630"/>
      <c r="AP7" s="630"/>
    </row>
    <row r="8" spans="1:42" x14ac:dyDescent="0.2">
      <c r="A8" s="502" t="s">
        <v>278</v>
      </c>
      <c r="B8" s="504">
        <v>20130305</v>
      </c>
      <c r="C8" s="503">
        <v>0.375</v>
      </c>
      <c r="D8" s="575">
        <v>1440</v>
      </c>
      <c r="E8" s="504"/>
      <c r="F8" s="505">
        <v>5354.0766599999997</v>
      </c>
      <c r="G8" s="505">
        <v>19.134606999999999</v>
      </c>
      <c r="H8" s="504">
        <v>61.389488</v>
      </c>
      <c r="I8" s="507"/>
      <c r="J8" s="576">
        <v>100.361</v>
      </c>
      <c r="K8" s="577">
        <v>815577.75</v>
      </c>
      <c r="L8" s="578">
        <v>0</v>
      </c>
      <c r="N8" s="114">
        <v>4</v>
      </c>
      <c r="O8" s="554">
        <f t="shared" si="3"/>
        <v>8671.0358618666523</v>
      </c>
      <c r="P8" s="510">
        <f>'Balance de Energía'!AR14</f>
        <v>36303.892946463297</v>
      </c>
      <c r="Q8" s="511">
        <f t="shared" si="4"/>
        <v>974.36429979795571</v>
      </c>
      <c r="S8" s="514">
        <f t="shared" si="5"/>
        <v>100361</v>
      </c>
      <c r="T8" s="581">
        <f t="shared" si="6"/>
        <v>3544215.5958699998</v>
      </c>
      <c r="V8" s="509">
        <f t="shared" si="7"/>
        <v>870.2338301327992</v>
      </c>
      <c r="W8" s="510">
        <f t="shared" si="8"/>
        <v>3643.4950000000031</v>
      </c>
      <c r="X8" s="511">
        <f t="shared" si="9"/>
        <v>3453.3571474028668</v>
      </c>
      <c r="AE8" s="629" t="str">
        <f t="shared" si="0"/>
        <v>100.361</v>
      </c>
      <c r="AF8" s="642"/>
      <c r="AG8" s="643"/>
      <c r="AH8" s="644"/>
      <c r="AI8" s="645">
        <f t="shared" si="1"/>
        <v>100.361</v>
      </c>
      <c r="AJ8" s="646">
        <f t="shared" si="2"/>
        <v>100.361</v>
      </c>
      <c r="AK8" s="630"/>
      <c r="AL8" s="630"/>
      <c r="AM8" s="630"/>
      <c r="AN8" s="630"/>
      <c r="AO8" s="630"/>
      <c r="AP8" s="630"/>
    </row>
    <row r="9" spans="1:42" x14ac:dyDescent="0.2">
      <c r="A9" s="502" t="s">
        <v>278</v>
      </c>
      <c r="B9" s="504">
        <v>20130306</v>
      </c>
      <c r="C9" s="503">
        <v>0.375</v>
      </c>
      <c r="D9" s="575">
        <v>1440</v>
      </c>
      <c r="E9" s="504"/>
      <c r="F9" s="505">
        <v>5354.0766599999997</v>
      </c>
      <c r="G9" s="505">
        <v>19.170732000000001</v>
      </c>
      <c r="H9" s="504">
        <v>61.389488</v>
      </c>
      <c r="I9" s="507"/>
      <c r="J9" s="576">
        <v>108.414</v>
      </c>
      <c r="K9" s="577">
        <v>815577.75</v>
      </c>
      <c r="L9" s="578">
        <v>0</v>
      </c>
      <c r="N9" s="114">
        <v>5</v>
      </c>
      <c r="O9" s="554">
        <f t="shared" si="3"/>
        <v>8663.8025639004263</v>
      </c>
      <c r="P9" s="510">
        <f>'Balance de Energía'!AR15</f>
        <v>36273.608574538302</v>
      </c>
      <c r="Q9" s="511">
        <f t="shared" si="4"/>
        <v>973.55149410549086</v>
      </c>
      <c r="S9" s="514">
        <f t="shared" si="5"/>
        <v>108414</v>
      </c>
      <c r="T9" s="581">
        <f t="shared" si="6"/>
        <v>3828604.63338</v>
      </c>
      <c r="V9" s="509">
        <f t="shared" si="7"/>
        <v>939.27749116270081</v>
      </c>
      <c r="W9" s="510">
        <f t="shared" si="8"/>
        <v>3932.5669999999959</v>
      </c>
      <c r="X9" s="511">
        <f t="shared" si="9"/>
        <v>3727.3437611663039</v>
      </c>
      <c r="AE9" s="629" t="str">
        <f t="shared" si="0"/>
        <v>108.414</v>
      </c>
      <c r="AF9" s="642"/>
      <c r="AG9" s="643"/>
      <c r="AH9" s="644"/>
      <c r="AI9" s="645">
        <f t="shared" si="1"/>
        <v>108.414</v>
      </c>
      <c r="AJ9" s="646">
        <f t="shared" si="2"/>
        <v>108.414</v>
      </c>
      <c r="AK9" s="630"/>
      <c r="AL9" s="630"/>
      <c r="AM9" s="630"/>
      <c r="AN9" s="630"/>
      <c r="AO9" s="630"/>
      <c r="AP9" s="630"/>
    </row>
    <row r="10" spans="1:42" x14ac:dyDescent="0.2">
      <c r="A10" s="502" t="s">
        <v>278</v>
      </c>
      <c r="B10" s="504">
        <v>20130307</v>
      </c>
      <c r="C10" s="503">
        <v>0.375</v>
      </c>
      <c r="D10" s="575">
        <v>1440</v>
      </c>
      <c r="E10" s="504"/>
      <c r="F10" s="505">
        <v>5354.0766599999997</v>
      </c>
      <c r="G10" s="505">
        <v>19.188483999999999</v>
      </c>
      <c r="H10" s="504">
        <v>61.389488</v>
      </c>
      <c r="I10" s="507"/>
      <c r="J10" s="576">
        <v>99.195999999999998</v>
      </c>
      <c r="K10" s="577">
        <v>815577.75</v>
      </c>
      <c r="L10" s="578">
        <v>0</v>
      </c>
      <c r="N10" s="114">
        <v>6</v>
      </c>
      <c r="O10" s="554">
        <f t="shared" si="3"/>
        <v>8677.25052461823</v>
      </c>
      <c r="P10" s="510">
        <f>'Balance de Energía'!AR16</f>
        <v>36329.912496471603</v>
      </c>
      <c r="Q10" s="511">
        <f t="shared" si="4"/>
        <v>975.06264145135049</v>
      </c>
      <c r="S10" s="514">
        <f t="shared" si="5"/>
        <v>99196</v>
      </c>
      <c r="T10" s="581">
        <f t="shared" si="6"/>
        <v>3503074.00532</v>
      </c>
      <c r="V10" s="509">
        <f t="shared" si="7"/>
        <v>860.74854304002986</v>
      </c>
      <c r="W10" s="510">
        <f t="shared" si="8"/>
        <v>3603.781999999997</v>
      </c>
      <c r="X10" s="511">
        <f t="shared" si="9"/>
        <v>3415.7165928268814</v>
      </c>
      <c r="AE10" s="629" t="str">
        <f t="shared" si="0"/>
        <v>99.196</v>
      </c>
      <c r="AF10" s="642"/>
      <c r="AG10" s="643"/>
      <c r="AH10" s="644"/>
      <c r="AI10" s="645">
        <f t="shared" si="1"/>
        <v>99.195999999999998</v>
      </c>
      <c r="AJ10" s="646">
        <f t="shared" si="2"/>
        <v>99.195999999999998</v>
      </c>
      <c r="AK10" s="630"/>
      <c r="AL10" s="630"/>
      <c r="AM10" s="630"/>
      <c r="AN10" s="630"/>
      <c r="AO10" s="630"/>
      <c r="AP10" s="630"/>
    </row>
    <row r="11" spans="1:42" x14ac:dyDescent="0.2">
      <c r="A11" s="502" t="s">
        <v>278</v>
      </c>
      <c r="B11" s="504">
        <v>20130308</v>
      </c>
      <c r="C11" s="503">
        <v>0.375</v>
      </c>
      <c r="D11" s="575">
        <v>1440</v>
      </c>
      <c r="E11" s="504"/>
      <c r="F11" s="505">
        <v>5354.0766599999997</v>
      </c>
      <c r="G11" s="505">
        <v>19.292733999999999</v>
      </c>
      <c r="H11" s="504">
        <v>61.389488</v>
      </c>
      <c r="I11" s="507"/>
      <c r="J11" s="576">
        <v>97.932000000000002</v>
      </c>
      <c r="K11" s="577">
        <v>815577.75</v>
      </c>
      <c r="L11" s="578">
        <v>0</v>
      </c>
      <c r="N11" s="114">
        <v>7</v>
      </c>
      <c r="O11" s="554">
        <f t="shared" si="3"/>
        <v>8684.2233492572141</v>
      </c>
      <c r="P11" s="510">
        <f>'Balance de Energía'!AR17</f>
        <v>36359.106318670099</v>
      </c>
      <c r="Q11" s="511">
        <f t="shared" si="4"/>
        <v>975.84617775603317</v>
      </c>
      <c r="S11" s="514">
        <f t="shared" si="5"/>
        <v>97932</v>
      </c>
      <c r="T11" s="581">
        <f t="shared" si="6"/>
        <v>3458436.2624399997</v>
      </c>
      <c r="V11" s="509">
        <f t="shared" si="7"/>
        <v>850.46336103945748</v>
      </c>
      <c r="W11" s="510">
        <f t="shared" si="8"/>
        <v>3560.72</v>
      </c>
      <c r="X11" s="511">
        <f t="shared" si="9"/>
        <v>3374.9018077149349</v>
      </c>
      <c r="AE11" s="629" t="str">
        <f t="shared" si="0"/>
        <v>97.932</v>
      </c>
      <c r="AF11" s="642"/>
      <c r="AG11" s="643"/>
      <c r="AH11" s="644"/>
      <c r="AI11" s="645">
        <f t="shared" si="1"/>
        <v>97.932000000000002</v>
      </c>
      <c r="AJ11" s="646">
        <f t="shared" si="2"/>
        <v>97.932000000000002</v>
      </c>
      <c r="AK11" s="630"/>
      <c r="AL11" s="630"/>
      <c r="AM11" s="630"/>
      <c r="AN11" s="630"/>
      <c r="AO11" s="630"/>
      <c r="AP11" s="630"/>
    </row>
    <row r="12" spans="1:42" x14ac:dyDescent="0.2">
      <c r="A12" s="502" t="s">
        <v>278</v>
      </c>
      <c r="B12" s="504">
        <v>20130309</v>
      </c>
      <c r="C12" s="503">
        <v>0.375</v>
      </c>
      <c r="D12" s="575">
        <v>1440</v>
      </c>
      <c r="E12" s="504"/>
      <c r="F12" s="505">
        <v>5354.0766599999997</v>
      </c>
      <c r="G12" s="505">
        <v>19.589410999999998</v>
      </c>
      <c r="H12" s="504">
        <v>61.389488</v>
      </c>
      <c r="I12" s="507"/>
      <c r="J12" s="576">
        <v>97.236999999999995</v>
      </c>
      <c r="K12" s="577">
        <v>815577.75</v>
      </c>
      <c r="L12" s="578">
        <v>0</v>
      </c>
      <c r="N12" s="114">
        <v>8</v>
      </c>
      <c r="O12" s="554">
        <f t="shared" si="3"/>
        <v>8680.4076385966127</v>
      </c>
      <c r="P12" s="510">
        <f>'Balance de Energía'!AR18</f>
        <v>36343.130701276299</v>
      </c>
      <c r="Q12" s="511">
        <f t="shared" si="4"/>
        <v>975.41740634910138</v>
      </c>
      <c r="S12" s="514">
        <f t="shared" si="5"/>
        <v>97237</v>
      </c>
      <c r="T12" s="581">
        <f t="shared" si="6"/>
        <v>3433892.5667900001</v>
      </c>
      <c r="V12" s="509">
        <f t="shared" si="7"/>
        <v>844.05679755421886</v>
      </c>
      <c r="W12" s="510">
        <f t="shared" si="8"/>
        <v>3533.8970000000031</v>
      </c>
      <c r="X12" s="511">
        <f t="shared" si="9"/>
        <v>3349.4785811797606</v>
      </c>
      <c r="AE12" s="629" t="str">
        <f t="shared" si="0"/>
        <v>97.237</v>
      </c>
      <c r="AF12" s="642"/>
      <c r="AG12" s="643"/>
      <c r="AH12" s="644"/>
      <c r="AI12" s="645">
        <f t="shared" si="1"/>
        <v>97.236999999999995</v>
      </c>
      <c r="AJ12" s="646">
        <f t="shared" si="2"/>
        <v>97.236999999999995</v>
      </c>
      <c r="AK12" s="630"/>
      <c r="AL12" s="630"/>
      <c r="AM12" s="630"/>
      <c r="AN12" s="630"/>
      <c r="AO12" s="630"/>
      <c r="AP12" s="630"/>
    </row>
    <row r="13" spans="1:42" x14ac:dyDescent="0.2">
      <c r="A13" s="502" t="s">
        <v>278</v>
      </c>
      <c r="B13" s="504">
        <v>20130310</v>
      </c>
      <c r="C13" s="503">
        <v>0.375</v>
      </c>
      <c r="D13" s="575">
        <v>1440</v>
      </c>
      <c r="E13" s="504"/>
      <c r="F13" s="505">
        <v>5354.0766599999997</v>
      </c>
      <c r="G13" s="505">
        <v>19.077164</v>
      </c>
      <c r="H13" s="504">
        <v>61.389488</v>
      </c>
      <c r="I13" s="507"/>
      <c r="J13" s="576">
        <v>57.036000000000001</v>
      </c>
      <c r="K13" s="577">
        <v>815577.75</v>
      </c>
      <c r="L13" s="578">
        <v>0</v>
      </c>
      <c r="N13" s="114">
        <v>9</v>
      </c>
      <c r="O13" s="554">
        <f t="shared" si="3"/>
        <v>8686.5977880595201</v>
      </c>
      <c r="P13" s="510">
        <f>'Balance de Energía'!AR19</f>
        <v>36369.047619047597</v>
      </c>
      <c r="Q13" s="511">
        <f t="shared" si="4"/>
        <v>976.11299344424822</v>
      </c>
      <c r="S13" s="514">
        <f t="shared" si="5"/>
        <v>57036</v>
      </c>
      <c r="T13" s="581">
        <f t="shared" si="6"/>
        <v>2014207.5181199999</v>
      </c>
      <c r="V13" s="509">
        <f t="shared" si="7"/>
        <v>495.44879143976277</v>
      </c>
      <c r="W13" s="510">
        <f t="shared" si="8"/>
        <v>2074.3449999999989</v>
      </c>
      <c r="X13" s="511">
        <f t="shared" si="9"/>
        <v>1966.094129930023</v>
      </c>
      <c r="AE13" s="629" t="str">
        <f t="shared" si="0"/>
        <v>57.036</v>
      </c>
      <c r="AF13" s="642"/>
      <c r="AG13" s="643"/>
      <c r="AH13" s="644"/>
      <c r="AI13" s="645">
        <f t="shared" si="1"/>
        <v>57.036000000000001</v>
      </c>
      <c r="AJ13" s="646">
        <f t="shared" si="2"/>
        <v>57.036000000000001</v>
      </c>
      <c r="AK13" s="630"/>
      <c r="AL13" s="630"/>
      <c r="AM13" s="630"/>
      <c r="AN13" s="630"/>
      <c r="AO13" s="630"/>
      <c r="AP13" s="630"/>
    </row>
    <row r="14" spans="1:42" x14ac:dyDescent="0.2">
      <c r="A14" s="502" t="s">
        <v>278</v>
      </c>
      <c r="B14" s="504">
        <v>20130311</v>
      </c>
      <c r="C14" s="503">
        <v>0.375</v>
      </c>
      <c r="D14" s="575">
        <v>1440</v>
      </c>
      <c r="E14" s="504"/>
      <c r="F14" s="505">
        <v>5354.0766599999997</v>
      </c>
      <c r="G14" s="505">
        <v>19.049858</v>
      </c>
      <c r="H14" s="504">
        <v>61.389488</v>
      </c>
      <c r="I14" s="507"/>
      <c r="J14" s="576">
        <v>61.27</v>
      </c>
      <c r="K14" s="577">
        <v>815577.75</v>
      </c>
      <c r="L14" s="578">
        <v>0</v>
      </c>
      <c r="N14" s="114">
        <v>10</v>
      </c>
      <c r="O14" s="554">
        <f t="shared" si="3"/>
        <v>8698.8946381867772</v>
      </c>
      <c r="P14" s="510">
        <f>'Balance de Energía'!AR20</f>
        <v>36420.5320711604</v>
      </c>
      <c r="Q14" s="511">
        <f t="shared" si="4"/>
        <v>977.49479049304819</v>
      </c>
      <c r="S14" s="514">
        <f t="shared" si="5"/>
        <v>61270</v>
      </c>
      <c r="T14" s="581">
        <f t="shared" si="6"/>
        <v>2163729.8308999999</v>
      </c>
      <c r="V14" s="509">
        <f t="shared" si="7"/>
        <v>532.98127448170385</v>
      </c>
      <c r="W14" s="510">
        <f t="shared" si="8"/>
        <v>2231.4859999999976</v>
      </c>
      <c r="X14" s="511">
        <f t="shared" si="9"/>
        <v>2115.0346377391543</v>
      </c>
      <c r="AE14" s="629" t="str">
        <f t="shared" si="0"/>
        <v>61.27</v>
      </c>
      <c r="AF14" s="642"/>
      <c r="AG14" s="643"/>
      <c r="AH14" s="644"/>
      <c r="AI14" s="645">
        <f t="shared" si="1"/>
        <v>61.27</v>
      </c>
      <c r="AJ14" s="646">
        <f t="shared" si="2"/>
        <v>61.27</v>
      </c>
      <c r="AK14" s="630"/>
      <c r="AL14" s="630"/>
      <c r="AM14" s="630"/>
      <c r="AN14" s="630"/>
      <c r="AO14" s="630"/>
      <c r="AP14" s="630"/>
    </row>
    <row r="15" spans="1:42" x14ac:dyDescent="0.2">
      <c r="A15" s="502" t="s">
        <v>278</v>
      </c>
      <c r="B15" s="504">
        <v>20130312</v>
      </c>
      <c r="C15" s="503">
        <v>0.375</v>
      </c>
      <c r="D15" s="575">
        <v>1440</v>
      </c>
      <c r="E15" s="504"/>
      <c r="F15" s="505">
        <v>5354.0766599999997</v>
      </c>
      <c r="G15" s="505">
        <v>19.079433000000002</v>
      </c>
      <c r="H15" s="504">
        <v>61.389488</v>
      </c>
      <c r="I15" s="507"/>
      <c r="J15" s="576">
        <v>92.33</v>
      </c>
      <c r="K15" s="577">
        <v>815577.75</v>
      </c>
      <c r="L15" s="578">
        <v>0</v>
      </c>
      <c r="N15" s="114">
        <v>11</v>
      </c>
      <c r="O15" s="554">
        <f t="shared" si="3"/>
        <v>8683.8294038177846</v>
      </c>
      <c r="P15" s="510">
        <f>'Balance de Energía'!AR21</f>
        <v>36357.456947904298</v>
      </c>
      <c r="Q15" s="511">
        <f t="shared" si="4"/>
        <v>975.80191010700446</v>
      </c>
      <c r="S15" s="514">
        <f t="shared" si="5"/>
        <v>92330</v>
      </c>
      <c r="T15" s="581">
        <f t="shared" si="6"/>
        <v>3260603.4811</v>
      </c>
      <c r="V15" s="509">
        <f t="shared" si="7"/>
        <v>801.77796885449595</v>
      </c>
      <c r="W15" s="510">
        <f t="shared" si="8"/>
        <v>3356.8840000000037</v>
      </c>
      <c r="X15" s="511">
        <f t="shared" si="9"/>
        <v>3181.7031049589282</v>
      </c>
      <c r="AE15" s="629" t="str">
        <f t="shared" si="0"/>
        <v>92.33</v>
      </c>
      <c r="AF15" s="642"/>
      <c r="AG15" s="643"/>
      <c r="AH15" s="644"/>
      <c r="AI15" s="645">
        <f t="shared" si="1"/>
        <v>92.33</v>
      </c>
      <c r="AJ15" s="646">
        <f t="shared" si="2"/>
        <v>92.33</v>
      </c>
      <c r="AK15" s="630"/>
      <c r="AL15" s="630"/>
      <c r="AM15" s="630"/>
      <c r="AN15" s="630"/>
      <c r="AO15" s="630"/>
      <c r="AP15" s="630"/>
    </row>
    <row r="16" spans="1:42" x14ac:dyDescent="0.2">
      <c r="A16" s="502" t="s">
        <v>278</v>
      </c>
      <c r="B16" s="504">
        <v>20130313</v>
      </c>
      <c r="C16" s="503">
        <v>0.375</v>
      </c>
      <c r="D16" s="575">
        <v>1440</v>
      </c>
      <c r="E16" s="504"/>
      <c r="F16" s="505">
        <v>5354.0766599999997</v>
      </c>
      <c r="G16" s="505">
        <v>18.860289000000002</v>
      </c>
      <c r="H16" s="504">
        <v>61.389488</v>
      </c>
      <c r="I16" s="507"/>
      <c r="J16" s="576">
        <v>104.057</v>
      </c>
      <c r="K16" s="577">
        <v>815577.75</v>
      </c>
      <c r="L16" s="578">
        <v>0</v>
      </c>
      <c r="N16" s="114">
        <v>12</v>
      </c>
      <c r="O16" s="554">
        <f t="shared" si="3"/>
        <v>8687.5618569831622</v>
      </c>
      <c r="P16" s="510">
        <f>'Balance de Energía'!AR22</f>
        <v>36373.083982817101</v>
      </c>
      <c r="Q16" s="511">
        <f t="shared" si="4"/>
        <v>976.22132586919793</v>
      </c>
      <c r="S16" s="514">
        <f t="shared" si="5"/>
        <v>104057</v>
      </c>
      <c r="T16" s="581">
        <f t="shared" si="6"/>
        <v>3674738.61619</v>
      </c>
      <c r="V16" s="509">
        <f t="shared" si="7"/>
        <v>904.00162415209684</v>
      </c>
      <c r="W16" s="510">
        <f t="shared" si="8"/>
        <v>3784.8739999999989</v>
      </c>
      <c r="X16" s="511">
        <f t="shared" si="9"/>
        <v>3587.3582041197433</v>
      </c>
      <c r="AE16" s="629" t="str">
        <f t="shared" si="0"/>
        <v>104.057</v>
      </c>
      <c r="AF16" s="642"/>
      <c r="AG16" s="643"/>
      <c r="AH16" s="644"/>
      <c r="AI16" s="645">
        <f t="shared" si="1"/>
        <v>104.057</v>
      </c>
      <c r="AJ16" s="646">
        <f t="shared" si="2"/>
        <v>104.057</v>
      </c>
      <c r="AK16" s="630"/>
      <c r="AL16" s="630"/>
      <c r="AM16" s="630"/>
      <c r="AN16" s="630"/>
      <c r="AO16" s="630"/>
      <c r="AP16" s="630"/>
    </row>
    <row r="17" spans="1:42" x14ac:dyDescent="0.2">
      <c r="A17" s="502" t="s">
        <v>278</v>
      </c>
      <c r="B17" s="504">
        <v>20130314</v>
      </c>
      <c r="C17" s="503">
        <v>0.375</v>
      </c>
      <c r="D17" s="575">
        <v>1440</v>
      </c>
      <c r="E17" s="504"/>
      <c r="F17" s="505">
        <v>5354.0766599999997</v>
      </c>
      <c r="G17" s="505">
        <v>18.909306000000001</v>
      </c>
      <c r="H17" s="504">
        <v>61.389488</v>
      </c>
      <c r="I17" s="507"/>
      <c r="J17" s="576">
        <v>110.09099999999999</v>
      </c>
      <c r="K17" s="577">
        <v>815577.75</v>
      </c>
      <c r="L17" s="578">
        <v>0</v>
      </c>
      <c r="N17" s="114">
        <v>13</v>
      </c>
      <c r="O17" s="554">
        <f t="shared" si="3"/>
        <v>8666.9378806721361</v>
      </c>
      <c r="P17" s="510">
        <f>'Balance de Energía'!AR23</f>
        <v>36286.735518798101</v>
      </c>
      <c r="Q17" s="511">
        <f t="shared" si="4"/>
        <v>973.90380965112786</v>
      </c>
      <c r="S17" s="514">
        <f t="shared" si="5"/>
        <v>110091</v>
      </c>
      <c r="T17" s="581">
        <f t="shared" si="6"/>
        <v>3887827.3349699997</v>
      </c>
      <c r="V17" s="509">
        <f t="shared" si="7"/>
        <v>954.15185822107617</v>
      </c>
      <c r="W17" s="510">
        <f t="shared" si="8"/>
        <v>3994.8430000000021</v>
      </c>
      <c r="X17" s="511">
        <f t="shared" si="9"/>
        <v>3786.3698527930742</v>
      </c>
      <c r="AE17" s="629" t="str">
        <f t="shared" si="0"/>
        <v>110.091</v>
      </c>
      <c r="AF17" s="642"/>
      <c r="AG17" s="643"/>
      <c r="AH17" s="644"/>
      <c r="AI17" s="645">
        <f t="shared" si="1"/>
        <v>110.09099999999999</v>
      </c>
      <c r="AJ17" s="646">
        <f t="shared" si="2"/>
        <v>110.09099999999999</v>
      </c>
      <c r="AK17" s="630"/>
      <c r="AL17" s="630"/>
      <c r="AM17" s="630"/>
      <c r="AN17" s="630"/>
      <c r="AO17" s="630"/>
      <c r="AP17" s="630"/>
    </row>
    <row r="18" spans="1:42" x14ac:dyDescent="0.2">
      <c r="A18" s="502" t="s">
        <v>278</v>
      </c>
      <c r="B18" s="504">
        <v>20130315</v>
      </c>
      <c r="C18" s="503">
        <v>0.375</v>
      </c>
      <c r="D18" s="575">
        <v>1440</v>
      </c>
      <c r="E18" s="504"/>
      <c r="F18" s="505">
        <v>5354.0766599999997</v>
      </c>
      <c r="G18" s="505">
        <v>19.121158999999999</v>
      </c>
      <c r="H18" s="504">
        <v>61.389488</v>
      </c>
      <c r="I18" s="507"/>
      <c r="J18" s="576">
        <v>105.623</v>
      </c>
      <c r="K18" s="577">
        <v>815577.75</v>
      </c>
      <c r="L18" s="578">
        <v>0</v>
      </c>
      <c r="N18" s="114">
        <v>14</v>
      </c>
      <c r="O18" s="554">
        <f t="shared" si="3"/>
        <v>8644.4947248490262</v>
      </c>
      <c r="P18" s="510">
        <f>'Balance de Energía'!AR24</f>
        <v>36192.770513997901</v>
      </c>
      <c r="Q18" s="511">
        <f t="shared" si="4"/>
        <v>971.381872231285</v>
      </c>
      <c r="S18" s="514">
        <f t="shared" si="5"/>
        <v>105623</v>
      </c>
      <c r="T18" s="581">
        <f t="shared" si="6"/>
        <v>3730041.3894099998</v>
      </c>
      <c r="V18" s="509">
        <f t="shared" si="7"/>
        <v>913.0574663227286</v>
      </c>
      <c r="W18" s="510">
        <f t="shared" si="8"/>
        <v>3822.7890000000007</v>
      </c>
      <c r="X18" s="511">
        <f t="shared" si="9"/>
        <v>3623.2945883452694</v>
      </c>
      <c r="AE18" s="629" t="str">
        <f t="shared" si="0"/>
        <v>105.623</v>
      </c>
      <c r="AF18" s="642"/>
      <c r="AG18" s="643"/>
      <c r="AH18" s="644"/>
      <c r="AI18" s="645">
        <f t="shared" si="1"/>
        <v>105.623</v>
      </c>
      <c r="AJ18" s="646">
        <f t="shared" si="2"/>
        <v>105.623</v>
      </c>
      <c r="AK18" s="630"/>
      <c r="AL18" s="630"/>
      <c r="AM18" s="630"/>
      <c r="AN18" s="630"/>
      <c r="AO18" s="630"/>
      <c r="AP18" s="630"/>
    </row>
    <row r="19" spans="1:42" x14ac:dyDescent="0.2">
      <c r="A19" s="502" t="s">
        <v>278</v>
      </c>
      <c r="B19" s="504">
        <v>20130316</v>
      </c>
      <c r="C19" s="503">
        <v>0.375</v>
      </c>
      <c r="D19" s="575">
        <v>1440</v>
      </c>
      <c r="E19" s="504"/>
      <c r="F19" s="505">
        <v>5354.0766599999997</v>
      </c>
      <c r="G19" s="505">
        <v>19.231283000000001</v>
      </c>
      <c r="H19" s="504">
        <v>61.389488</v>
      </c>
      <c r="I19" s="507"/>
      <c r="J19" s="576">
        <v>107.565</v>
      </c>
      <c r="K19" s="577">
        <v>815577.75</v>
      </c>
      <c r="L19" s="578">
        <v>0</v>
      </c>
      <c r="N19" s="114">
        <v>15</v>
      </c>
      <c r="O19" s="554">
        <f t="shared" si="3"/>
        <v>8752.8834079594671</v>
      </c>
      <c r="P19" s="510">
        <f>'Balance de Energía'!AR25</f>
        <v>36646.572252444697</v>
      </c>
      <c r="Q19" s="511">
        <f t="shared" si="4"/>
        <v>983.56150855240526</v>
      </c>
      <c r="S19" s="514">
        <f t="shared" si="5"/>
        <v>107565</v>
      </c>
      <c r="T19" s="581">
        <f t="shared" si="6"/>
        <v>3798622.4785500001</v>
      </c>
      <c r="V19" s="509">
        <f t="shared" si="7"/>
        <v>941.50390377716008</v>
      </c>
      <c r="W19" s="510">
        <f t="shared" si="8"/>
        <v>3941.8885443342137</v>
      </c>
      <c r="X19" s="511">
        <f t="shared" si="9"/>
        <v>3736.1788554237146</v>
      </c>
      <c r="AE19" s="629" t="str">
        <f t="shared" si="0"/>
        <v>107.565</v>
      </c>
      <c r="AF19" s="642"/>
      <c r="AG19" s="643"/>
      <c r="AH19" s="644"/>
      <c r="AI19" s="645">
        <f t="shared" si="1"/>
        <v>107.565</v>
      </c>
      <c r="AJ19" s="646">
        <f t="shared" si="2"/>
        <v>107.565</v>
      </c>
      <c r="AK19" s="630"/>
      <c r="AL19" s="630"/>
      <c r="AM19" s="630"/>
      <c r="AN19" s="630"/>
      <c r="AO19" s="630"/>
      <c r="AP19" s="630"/>
    </row>
    <row r="20" spans="1:42" x14ac:dyDescent="0.2">
      <c r="A20" s="502" t="s">
        <v>278</v>
      </c>
      <c r="B20" s="504">
        <v>20130317</v>
      </c>
      <c r="C20" s="503">
        <v>0.375</v>
      </c>
      <c r="D20" s="575">
        <v>1440</v>
      </c>
      <c r="E20" s="504"/>
      <c r="F20" s="505">
        <v>5354.0766599999997</v>
      </c>
      <c r="G20" s="505">
        <v>19.331399999999999</v>
      </c>
      <c r="H20" s="504">
        <v>61.389488</v>
      </c>
      <c r="I20" s="507"/>
      <c r="J20" s="576">
        <v>57.070999999999998</v>
      </c>
      <c r="K20" s="577">
        <v>815577.75</v>
      </c>
      <c r="L20" s="578">
        <v>0</v>
      </c>
      <c r="N20" s="114">
        <v>16</v>
      </c>
      <c r="O20" s="554">
        <f t="shared" si="3"/>
        <v>8752.8834079594671</v>
      </c>
      <c r="P20" s="510">
        <f>'Balance de Energía'!AR26</f>
        <v>36646.572252444697</v>
      </c>
      <c r="Q20" s="511">
        <f t="shared" si="4"/>
        <v>983.56150855240526</v>
      </c>
      <c r="S20" s="514">
        <f t="shared" si="5"/>
        <v>57071</v>
      </c>
      <c r="T20" s="581">
        <f t="shared" si="6"/>
        <v>2015443.5315699999</v>
      </c>
      <c r="V20" s="509">
        <f t="shared" si="7"/>
        <v>499.53580897565473</v>
      </c>
      <c r="W20" s="510">
        <f t="shared" si="8"/>
        <v>2091.4565250192713</v>
      </c>
      <c r="X20" s="511">
        <f t="shared" si="9"/>
        <v>1982.3126803131763</v>
      </c>
      <c r="AE20" s="629" t="str">
        <f t="shared" si="0"/>
        <v>57.071</v>
      </c>
      <c r="AF20" s="642"/>
      <c r="AG20" s="643"/>
      <c r="AH20" s="644"/>
      <c r="AI20" s="645">
        <f t="shared" si="1"/>
        <v>57.070999999999998</v>
      </c>
      <c r="AJ20" s="646">
        <f t="shared" si="2"/>
        <v>57.070999999999998</v>
      </c>
      <c r="AK20" s="630"/>
      <c r="AL20" s="630"/>
      <c r="AM20" s="630"/>
      <c r="AN20" s="630"/>
      <c r="AO20" s="630"/>
      <c r="AP20" s="630"/>
    </row>
    <row r="21" spans="1:42" x14ac:dyDescent="0.2">
      <c r="A21" s="502" t="s">
        <v>278</v>
      </c>
      <c r="B21" s="504">
        <v>20130318</v>
      </c>
      <c r="C21" s="503">
        <v>0.375</v>
      </c>
      <c r="D21" s="575">
        <v>1440</v>
      </c>
      <c r="E21" s="504"/>
      <c r="F21" s="505">
        <v>5354.0766599999997</v>
      </c>
      <c r="G21" s="505">
        <v>19.219549000000001</v>
      </c>
      <c r="H21" s="504">
        <v>61.389488</v>
      </c>
      <c r="I21" s="507"/>
      <c r="J21" s="576">
        <v>35.893000000000001</v>
      </c>
      <c r="K21" s="577">
        <v>815577.75</v>
      </c>
      <c r="L21" s="578">
        <v>0</v>
      </c>
      <c r="N21" s="114">
        <v>17</v>
      </c>
      <c r="O21" s="554">
        <f t="shared" si="3"/>
        <v>8752.8834079594671</v>
      </c>
      <c r="P21" s="510">
        <f>'Balance de Energía'!AR27</f>
        <v>36646.572252444697</v>
      </c>
      <c r="Q21" s="511">
        <f t="shared" si="4"/>
        <v>983.56150855240526</v>
      </c>
      <c r="S21" s="514">
        <f t="shared" si="5"/>
        <v>35893</v>
      </c>
      <c r="T21" s="581">
        <f t="shared" si="6"/>
        <v>1267549.45031</v>
      </c>
      <c r="V21" s="509">
        <f t="shared" si="7"/>
        <v>314.16724416188913</v>
      </c>
      <c r="W21" s="510">
        <f t="shared" si="8"/>
        <v>1315.3554178569975</v>
      </c>
      <c r="X21" s="511">
        <f t="shared" si="9"/>
        <v>1246.7128495116756</v>
      </c>
      <c r="AE21" s="629" t="str">
        <f t="shared" si="0"/>
        <v>35.893</v>
      </c>
      <c r="AF21" s="642"/>
      <c r="AG21" s="643"/>
      <c r="AH21" s="644"/>
      <c r="AI21" s="645">
        <f t="shared" si="1"/>
        <v>35.893000000000001</v>
      </c>
      <c r="AJ21" s="646">
        <f t="shared" si="2"/>
        <v>35.893000000000001</v>
      </c>
      <c r="AK21" s="630"/>
      <c r="AL21" s="630"/>
      <c r="AM21" s="630"/>
      <c r="AN21" s="630"/>
      <c r="AO21" s="630"/>
      <c r="AP21" s="630"/>
    </row>
    <row r="22" spans="1:42" x14ac:dyDescent="0.2">
      <c r="A22" s="502" t="s">
        <v>278</v>
      </c>
      <c r="B22" s="504">
        <v>20130319</v>
      </c>
      <c r="C22" s="503">
        <v>0.375</v>
      </c>
      <c r="D22" s="575">
        <v>1440</v>
      </c>
      <c r="E22" s="504"/>
      <c r="F22" s="505">
        <v>5354.0766599999997</v>
      </c>
      <c r="G22" s="505">
        <v>19.234342999999999</v>
      </c>
      <c r="H22" s="504">
        <v>61.389488</v>
      </c>
      <c r="I22" s="507"/>
      <c r="J22" s="576">
        <v>43.926000000000002</v>
      </c>
      <c r="K22" s="577">
        <v>815577.75</v>
      </c>
      <c r="L22" s="578">
        <v>0</v>
      </c>
      <c r="N22" s="114">
        <v>18</v>
      </c>
      <c r="O22" s="554">
        <f t="shared" si="3"/>
        <v>8752.8834079594671</v>
      </c>
      <c r="P22" s="510">
        <f>'Balance de Energía'!AR28</f>
        <v>36646.572252444697</v>
      </c>
      <c r="Q22" s="511">
        <f t="shared" si="4"/>
        <v>983.56150855240526</v>
      </c>
      <c r="S22" s="514">
        <f t="shared" si="5"/>
        <v>43926</v>
      </c>
      <c r="T22" s="581">
        <f t="shared" si="6"/>
        <v>1551232.1944200001</v>
      </c>
      <c r="V22" s="509">
        <f t="shared" si="7"/>
        <v>384.47915657802753</v>
      </c>
      <c r="W22" s="510">
        <f t="shared" si="8"/>
        <v>1609.7373327608857</v>
      </c>
      <c r="X22" s="511">
        <f t="shared" si="9"/>
        <v>1525.7322772587934</v>
      </c>
      <c r="AE22" s="629" t="str">
        <f t="shared" si="0"/>
        <v>43.926</v>
      </c>
      <c r="AF22" s="642"/>
      <c r="AG22" s="643"/>
      <c r="AH22" s="647"/>
      <c r="AI22" s="645">
        <f t="shared" si="1"/>
        <v>43.926000000000002</v>
      </c>
      <c r="AJ22" s="646">
        <f t="shared" si="2"/>
        <v>43.926000000000002</v>
      </c>
      <c r="AK22" s="630"/>
      <c r="AL22" s="630"/>
      <c r="AM22" s="630"/>
      <c r="AN22" s="630"/>
      <c r="AO22" s="630"/>
      <c r="AP22" s="630"/>
    </row>
    <row r="23" spans="1:42" x14ac:dyDescent="0.2">
      <c r="A23" s="502" t="s">
        <v>278</v>
      </c>
      <c r="B23" s="504">
        <v>20130320</v>
      </c>
      <c r="C23" s="503">
        <v>0.375</v>
      </c>
      <c r="D23" s="575">
        <v>1440</v>
      </c>
      <c r="E23" s="504"/>
      <c r="F23" s="505">
        <v>5354.0766599999997</v>
      </c>
      <c r="G23" s="505">
        <v>19.258655999999998</v>
      </c>
      <c r="H23" s="504">
        <v>61.389488</v>
      </c>
      <c r="I23" s="507"/>
      <c r="J23" s="576">
        <v>90.177999999999997</v>
      </c>
      <c r="K23" s="577">
        <v>815577.75</v>
      </c>
      <c r="L23" s="578">
        <v>0</v>
      </c>
      <c r="N23" s="114">
        <v>19</v>
      </c>
      <c r="O23" s="554">
        <f t="shared" si="3"/>
        <v>8752.8834079594671</v>
      </c>
      <c r="P23" s="510">
        <f>'Balance de Energía'!AR29</f>
        <v>36646.572252444697</v>
      </c>
      <c r="Q23" s="511">
        <f t="shared" si="4"/>
        <v>983.56150855240526</v>
      </c>
      <c r="S23" s="514">
        <f t="shared" si="5"/>
        <v>90178</v>
      </c>
      <c r="T23" s="581">
        <f t="shared" si="6"/>
        <v>3184606.3112599999</v>
      </c>
      <c r="V23" s="509">
        <f t="shared" si="7"/>
        <v>789.31751996296884</v>
      </c>
      <c r="W23" s="510">
        <f t="shared" si="8"/>
        <v>3304.7145925809577</v>
      </c>
      <c r="X23" s="511">
        <f t="shared" si="9"/>
        <v>3132.256187648396</v>
      </c>
      <c r="AE23" s="629" t="str">
        <f t="shared" si="0"/>
        <v>90.178</v>
      </c>
      <c r="AF23" s="642"/>
      <c r="AG23" s="643"/>
      <c r="AH23" s="647"/>
      <c r="AI23" s="645">
        <f t="shared" si="1"/>
        <v>90.177999999999997</v>
      </c>
      <c r="AJ23" s="646">
        <f t="shared" si="2"/>
        <v>90.177999999999997</v>
      </c>
      <c r="AK23" s="630"/>
      <c r="AL23" s="630"/>
      <c r="AM23" s="630"/>
      <c r="AN23" s="630"/>
      <c r="AO23" s="630"/>
      <c r="AP23" s="630"/>
    </row>
    <row r="24" spans="1:42" x14ac:dyDescent="0.2">
      <c r="A24" s="502" t="s">
        <v>278</v>
      </c>
      <c r="B24" s="504">
        <v>20130321</v>
      </c>
      <c r="C24" s="503">
        <v>0.375</v>
      </c>
      <c r="D24" s="575">
        <v>1440</v>
      </c>
      <c r="E24" s="504"/>
      <c r="F24" s="505">
        <v>5354.0766599999997</v>
      </c>
      <c r="G24" s="505">
        <v>19.246829999999999</v>
      </c>
      <c r="H24" s="504">
        <v>61.389488</v>
      </c>
      <c r="I24" s="507"/>
      <c r="J24" s="576">
        <v>93.668999999999997</v>
      </c>
      <c r="K24" s="577">
        <v>815577.75</v>
      </c>
      <c r="L24" s="578">
        <v>0</v>
      </c>
      <c r="N24" s="114">
        <v>20</v>
      </c>
      <c r="O24" s="554">
        <f t="shared" si="3"/>
        <v>8752.8834079594671</v>
      </c>
      <c r="P24" s="510">
        <f>'Balance de Energía'!AR30</f>
        <v>36646.572252444697</v>
      </c>
      <c r="Q24" s="511">
        <f t="shared" si="4"/>
        <v>983.56150855240526</v>
      </c>
      <c r="S24" s="514">
        <f t="shared" si="5"/>
        <v>93669</v>
      </c>
      <c r="T24" s="581">
        <f t="shared" si="6"/>
        <v>3307889.8242299999</v>
      </c>
      <c r="V24" s="509">
        <f t="shared" si="7"/>
        <v>819.87383594015535</v>
      </c>
      <c r="W24" s="510">
        <f t="shared" si="8"/>
        <v>3432.6477763142425</v>
      </c>
      <c r="X24" s="511">
        <f t="shared" si="9"/>
        <v>3253.5131056448095</v>
      </c>
      <c r="AE24" s="629" t="str">
        <f t="shared" si="0"/>
        <v>93.669</v>
      </c>
      <c r="AF24" s="642"/>
      <c r="AG24" s="643"/>
      <c r="AH24" s="647"/>
      <c r="AI24" s="645">
        <f t="shared" si="1"/>
        <v>93.668999999999997</v>
      </c>
      <c r="AJ24" s="646">
        <f t="shared" si="2"/>
        <v>93.668999999999997</v>
      </c>
      <c r="AK24" s="630"/>
      <c r="AL24" s="630"/>
      <c r="AM24" s="630"/>
      <c r="AN24" s="630"/>
      <c r="AO24" s="630"/>
      <c r="AP24" s="630"/>
    </row>
    <row r="25" spans="1:42" x14ac:dyDescent="0.2">
      <c r="A25" s="502" t="s">
        <v>278</v>
      </c>
      <c r="B25" s="504">
        <v>20130322</v>
      </c>
      <c r="C25" s="503">
        <v>0.375</v>
      </c>
      <c r="D25" s="575">
        <v>1440</v>
      </c>
      <c r="E25" s="504"/>
      <c r="F25" s="505">
        <v>5354.0766599999997</v>
      </c>
      <c r="G25" s="505">
        <v>19.217369000000001</v>
      </c>
      <c r="H25" s="504">
        <v>61.389488</v>
      </c>
      <c r="I25" s="507"/>
      <c r="J25" s="576">
        <v>98.867999999999995</v>
      </c>
      <c r="K25" s="577">
        <v>815577.75</v>
      </c>
      <c r="L25" s="578">
        <v>0</v>
      </c>
      <c r="N25" s="114">
        <v>21</v>
      </c>
      <c r="O25" s="554">
        <f t="shared" si="3"/>
        <v>8752.8834079594671</v>
      </c>
      <c r="P25" s="510">
        <f>'Balance de Energía'!AR31</f>
        <v>36646.572252444697</v>
      </c>
      <c r="Q25" s="511">
        <f t="shared" si="4"/>
        <v>983.56150855240526</v>
      </c>
      <c r="S25" s="514">
        <f t="shared" si="5"/>
        <v>98868</v>
      </c>
      <c r="T25" s="581">
        <f t="shared" si="6"/>
        <v>3491490.7935600001</v>
      </c>
      <c r="V25" s="509">
        <f t="shared" si="7"/>
        <v>865.38007677813664</v>
      </c>
      <c r="W25" s="510">
        <f t="shared" si="8"/>
        <v>3623.1733054547026</v>
      </c>
      <c r="X25" s="511">
        <f t="shared" si="9"/>
        <v>3434.0959520107085</v>
      </c>
      <c r="AE25" s="629" t="str">
        <f t="shared" si="0"/>
        <v>98.868</v>
      </c>
      <c r="AF25" s="642"/>
      <c r="AG25" s="643"/>
      <c r="AH25" s="647"/>
      <c r="AI25" s="645">
        <f t="shared" si="1"/>
        <v>98.867999999999995</v>
      </c>
      <c r="AJ25" s="646">
        <f t="shared" si="2"/>
        <v>98.867999999999995</v>
      </c>
      <c r="AK25" s="630"/>
      <c r="AL25" s="630"/>
      <c r="AM25" s="630"/>
      <c r="AN25" s="630"/>
      <c r="AO25" s="630"/>
      <c r="AP25" s="630"/>
    </row>
    <row r="26" spans="1:42" x14ac:dyDescent="0.2">
      <c r="A26" s="502" t="s">
        <v>278</v>
      </c>
      <c r="B26" s="504">
        <v>20130323</v>
      </c>
      <c r="C26" s="503">
        <v>0.375</v>
      </c>
      <c r="D26" s="575">
        <v>1440</v>
      </c>
      <c r="E26" s="504"/>
      <c r="F26" s="505">
        <v>5354.0766599999997</v>
      </c>
      <c r="G26" s="505">
        <v>19.511247999999998</v>
      </c>
      <c r="H26" s="504">
        <v>61.389488</v>
      </c>
      <c r="I26" s="507"/>
      <c r="J26" s="576">
        <v>92.257000000000005</v>
      </c>
      <c r="K26" s="577">
        <v>815577.75</v>
      </c>
      <c r="L26" s="578">
        <v>0</v>
      </c>
      <c r="N26" s="114">
        <v>22</v>
      </c>
      <c r="O26" s="554">
        <f t="shared" si="3"/>
        <v>8752.8834079594671</v>
      </c>
      <c r="P26" s="510">
        <f>'Balance de Energía'!AR32</f>
        <v>36646.572252444697</v>
      </c>
      <c r="Q26" s="511">
        <f t="shared" si="4"/>
        <v>983.56150855240526</v>
      </c>
      <c r="S26" s="514">
        <f t="shared" si="5"/>
        <v>92257</v>
      </c>
      <c r="T26" s="581">
        <f t="shared" si="6"/>
        <v>3258025.5101899998</v>
      </c>
      <c r="V26" s="509">
        <f t="shared" si="7"/>
        <v>807.51476456811656</v>
      </c>
      <c r="W26" s="510">
        <f t="shared" si="8"/>
        <v>3380.9028162937902</v>
      </c>
      <c r="X26" s="511">
        <f t="shared" si="9"/>
        <v>3204.4684857046964</v>
      </c>
      <c r="AE26" s="629" t="str">
        <f t="shared" si="0"/>
        <v>92.257</v>
      </c>
      <c r="AF26" s="642"/>
      <c r="AG26" s="643"/>
      <c r="AH26" s="647"/>
      <c r="AI26" s="645">
        <f t="shared" si="1"/>
        <v>92.257000000000005</v>
      </c>
      <c r="AJ26" s="646">
        <f t="shared" si="2"/>
        <v>92.257000000000005</v>
      </c>
      <c r="AK26" s="630"/>
      <c r="AL26" s="630"/>
      <c r="AM26" s="630"/>
      <c r="AN26" s="630"/>
      <c r="AO26" s="630"/>
      <c r="AP26" s="630"/>
    </row>
    <row r="27" spans="1:42" x14ac:dyDescent="0.2">
      <c r="A27" s="502" t="s">
        <v>278</v>
      </c>
      <c r="B27" s="504">
        <v>20130324</v>
      </c>
      <c r="C27" s="503">
        <v>0.375</v>
      </c>
      <c r="D27" s="575">
        <v>1440</v>
      </c>
      <c r="E27" s="504"/>
      <c r="F27" s="505">
        <v>5354.0766599999997</v>
      </c>
      <c r="G27" s="505">
        <v>19.595542999999999</v>
      </c>
      <c r="H27" s="504">
        <v>61.389488</v>
      </c>
      <c r="I27" s="507"/>
      <c r="J27" s="576">
        <v>59.351999999999997</v>
      </c>
      <c r="K27" s="577">
        <v>815577.75</v>
      </c>
      <c r="L27" s="578">
        <v>0</v>
      </c>
      <c r="N27" s="114">
        <v>23</v>
      </c>
      <c r="O27" s="554">
        <f t="shared" si="3"/>
        <v>8752.8834079594671</v>
      </c>
      <c r="P27" s="510">
        <f>'Balance de Energía'!AR33</f>
        <v>36646.572252444697</v>
      </c>
      <c r="Q27" s="511">
        <f t="shared" si="4"/>
        <v>983.56150855240526</v>
      </c>
      <c r="S27" s="514">
        <f t="shared" si="5"/>
        <v>59352</v>
      </c>
      <c r="T27" s="581">
        <f t="shared" si="6"/>
        <v>2095996.2938399999</v>
      </c>
      <c r="V27" s="509">
        <f t="shared" si="7"/>
        <v>519.50113602921022</v>
      </c>
      <c r="W27" s="510">
        <f t="shared" si="8"/>
        <v>2175.047356327098</v>
      </c>
      <c r="X27" s="511">
        <f t="shared" si="9"/>
        <v>2061.5412766895211</v>
      </c>
      <c r="AE27" s="629" t="str">
        <f t="shared" si="0"/>
        <v>59.352</v>
      </c>
      <c r="AF27" s="642"/>
      <c r="AG27" s="643"/>
      <c r="AH27" s="647"/>
      <c r="AI27" s="645">
        <f t="shared" si="1"/>
        <v>59.351999999999997</v>
      </c>
      <c r="AJ27" s="646">
        <f t="shared" si="2"/>
        <v>59.351999999999997</v>
      </c>
      <c r="AK27" s="630"/>
      <c r="AL27" s="630"/>
      <c r="AM27" s="630"/>
      <c r="AN27" s="630"/>
      <c r="AO27" s="630"/>
      <c r="AP27" s="630"/>
    </row>
    <row r="28" spans="1:42" x14ac:dyDescent="0.2">
      <c r="A28" s="502" t="s">
        <v>278</v>
      </c>
      <c r="B28" s="504">
        <v>20130325</v>
      </c>
      <c r="C28" s="503">
        <v>0.375</v>
      </c>
      <c r="D28" s="575">
        <v>1440</v>
      </c>
      <c r="E28" s="504"/>
      <c r="F28" s="505">
        <v>5354.0766599999997</v>
      </c>
      <c r="G28" s="505">
        <v>19.375343000000001</v>
      </c>
      <c r="H28" s="504">
        <v>61.389488</v>
      </c>
      <c r="I28" s="507"/>
      <c r="J28" s="576">
        <v>54.326999999999998</v>
      </c>
      <c r="K28" s="577">
        <v>815577.75</v>
      </c>
      <c r="L28" s="578">
        <v>0</v>
      </c>
      <c r="N28" s="114">
        <v>24</v>
      </c>
      <c r="O28" s="554">
        <f t="shared" si="3"/>
        <v>8752.8834079594671</v>
      </c>
      <c r="P28" s="510">
        <f>'Balance de Energía'!AR34</f>
        <v>36646.572252444697</v>
      </c>
      <c r="Q28" s="511">
        <f t="shared" si="4"/>
        <v>983.56150855240526</v>
      </c>
      <c r="S28" s="514">
        <f t="shared" si="5"/>
        <v>54327</v>
      </c>
      <c r="T28" s="581">
        <f t="shared" si="6"/>
        <v>1918540.07709</v>
      </c>
      <c r="V28" s="509">
        <f t="shared" si="7"/>
        <v>475.51789690421396</v>
      </c>
      <c r="W28" s="510">
        <f t="shared" si="8"/>
        <v>1990.8983307585631</v>
      </c>
      <c r="X28" s="511">
        <f t="shared" si="9"/>
        <v>1887.0021724408884</v>
      </c>
      <c r="AE28" s="629" t="str">
        <f t="shared" si="0"/>
        <v>54.327</v>
      </c>
      <c r="AF28" s="642"/>
      <c r="AG28" s="643"/>
      <c r="AH28" s="647"/>
      <c r="AI28" s="645">
        <f t="shared" si="1"/>
        <v>54.326999999999998</v>
      </c>
      <c r="AJ28" s="646">
        <f t="shared" si="2"/>
        <v>54.326999999999998</v>
      </c>
      <c r="AK28" s="630"/>
      <c r="AL28" s="630"/>
      <c r="AM28" s="630"/>
      <c r="AN28" s="630"/>
      <c r="AO28" s="630"/>
      <c r="AP28" s="630"/>
    </row>
    <row r="29" spans="1:42" x14ac:dyDescent="0.2">
      <c r="A29" s="502" t="s">
        <v>278</v>
      </c>
      <c r="B29" s="504">
        <v>20130326</v>
      </c>
      <c r="C29" s="503">
        <v>0.375</v>
      </c>
      <c r="D29" s="575">
        <v>1440</v>
      </c>
      <c r="E29" s="504"/>
      <c r="F29" s="505">
        <v>5354.0766599999997</v>
      </c>
      <c r="G29" s="505">
        <v>19.397694000000001</v>
      </c>
      <c r="H29" s="504">
        <v>61.389488</v>
      </c>
      <c r="I29" s="507"/>
      <c r="J29" s="576">
        <v>93.3</v>
      </c>
      <c r="K29" s="577">
        <v>815577.75</v>
      </c>
      <c r="L29" s="578">
        <v>0</v>
      </c>
      <c r="N29" s="114">
        <v>25</v>
      </c>
      <c r="O29" s="554">
        <f t="shared" si="3"/>
        <v>8752.8834079594671</v>
      </c>
      <c r="P29" s="510">
        <f>'Balance de Energía'!AR35</f>
        <v>36646.572252444697</v>
      </c>
      <c r="Q29" s="511">
        <f t="shared" si="4"/>
        <v>983.56150855240526</v>
      </c>
      <c r="S29" s="514">
        <f t="shared" si="5"/>
        <v>93300</v>
      </c>
      <c r="T29" s="581">
        <f t="shared" si="6"/>
        <v>3294858.7110000001</v>
      </c>
      <c r="V29" s="509">
        <f t="shared" si="7"/>
        <v>816.64402196261824</v>
      </c>
      <c r="W29" s="510">
        <f t="shared" si="8"/>
        <v>3419.1251911530903</v>
      </c>
      <c r="X29" s="511">
        <f t="shared" si="9"/>
        <v>3240.6962042581936</v>
      </c>
      <c r="AE29" s="629" t="str">
        <f t="shared" si="0"/>
        <v>93.3</v>
      </c>
      <c r="AF29" s="642"/>
      <c r="AG29" s="643"/>
      <c r="AH29" s="647"/>
      <c r="AI29" s="645">
        <f t="shared" si="1"/>
        <v>93.3</v>
      </c>
      <c r="AJ29" s="646">
        <f t="shared" si="2"/>
        <v>93.3</v>
      </c>
      <c r="AK29" s="630"/>
      <c r="AL29" s="630"/>
      <c r="AM29" s="630"/>
      <c r="AN29" s="630"/>
      <c r="AO29" s="630"/>
      <c r="AP29" s="630"/>
    </row>
    <row r="30" spans="1:42" x14ac:dyDescent="0.2">
      <c r="A30" s="502" t="s">
        <v>278</v>
      </c>
      <c r="B30" s="504">
        <v>20130327</v>
      </c>
      <c r="C30" s="503">
        <v>0.375</v>
      </c>
      <c r="D30" s="575">
        <v>1440</v>
      </c>
      <c r="E30" s="504"/>
      <c r="F30" s="505">
        <v>5354.0766599999997</v>
      </c>
      <c r="G30" s="505">
        <v>19.397694000000001</v>
      </c>
      <c r="H30" s="504">
        <v>61.389488</v>
      </c>
      <c r="I30" s="507"/>
      <c r="J30" s="576">
        <v>93.631</v>
      </c>
      <c r="K30" s="577">
        <v>815577.75</v>
      </c>
      <c r="L30" s="578">
        <v>0</v>
      </c>
      <c r="N30" s="114">
        <v>26</v>
      </c>
      <c r="O30" s="554">
        <f t="shared" si="3"/>
        <v>8752.8834079594671</v>
      </c>
      <c r="P30" s="510">
        <f>'Balance de Energía'!AR36</f>
        <v>36646.572252444697</v>
      </c>
      <c r="Q30" s="511">
        <f t="shared" si="4"/>
        <v>983.56150855240526</v>
      </c>
      <c r="S30" s="514">
        <f t="shared" si="5"/>
        <v>93631</v>
      </c>
      <c r="T30" s="581">
        <f t="shared" si="6"/>
        <v>3306547.8667699997</v>
      </c>
      <c r="V30" s="509">
        <f t="shared" si="7"/>
        <v>819.54122637065291</v>
      </c>
      <c r="W30" s="510">
        <f t="shared" si="8"/>
        <v>3431.2552065686491</v>
      </c>
      <c r="X30" s="511">
        <f t="shared" si="9"/>
        <v>3252.1932079410385</v>
      </c>
      <c r="AE30" s="629" t="str">
        <f t="shared" si="0"/>
        <v>93.631</v>
      </c>
      <c r="AF30" s="642"/>
      <c r="AG30" s="643"/>
      <c r="AH30" s="647"/>
      <c r="AI30" s="645">
        <f t="shared" si="1"/>
        <v>93.631</v>
      </c>
      <c r="AJ30" s="646">
        <f t="shared" si="2"/>
        <v>93.631</v>
      </c>
      <c r="AK30" s="630"/>
      <c r="AL30" s="630"/>
      <c r="AM30" s="630"/>
      <c r="AN30" s="630"/>
      <c r="AO30" s="630"/>
      <c r="AP30" s="630"/>
    </row>
    <row r="31" spans="1:42" x14ac:dyDescent="0.2">
      <c r="A31" s="502" t="s">
        <v>278</v>
      </c>
      <c r="B31" s="504">
        <v>20130328</v>
      </c>
      <c r="C31" s="503">
        <v>0.375</v>
      </c>
      <c r="D31" s="575">
        <v>1440</v>
      </c>
      <c r="E31" s="504"/>
      <c r="F31" s="505">
        <v>5354.0766599999997</v>
      </c>
      <c r="G31" s="505">
        <v>19.397694000000001</v>
      </c>
      <c r="H31" s="504">
        <v>61.389488</v>
      </c>
      <c r="I31" s="507"/>
      <c r="J31" s="576">
        <v>66.528999999999996</v>
      </c>
      <c r="K31" s="577">
        <v>815577.75</v>
      </c>
      <c r="L31" s="578">
        <v>0</v>
      </c>
      <c r="N31" s="114">
        <v>27</v>
      </c>
      <c r="O31" s="554">
        <f t="shared" si="3"/>
        <v>8752.8834079594671</v>
      </c>
      <c r="P31" s="510">
        <f>'Balance de Energía'!AR37</f>
        <v>36646.572252444697</v>
      </c>
      <c r="Q31" s="511">
        <f t="shared" si="4"/>
        <v>983.56150855240526</v>
      </c>
      <c r="S31" s="514">
        <f t="shared" si="5"/>
        <v>66529</v>
      </c>
      <c r="T31" s="581">
        <f t="shared" si="6"/>
        <v>2349449.6804300002</v>
      </c>
      <c r="V31" s="509">
        <f t="shared" si="7"/>
        <v>582.32058024813546</v>
      </c>
      <c r="W31" s="510">
        <f t="shared" si="8"/>
        <v>2438.059805382893</v>
      </c>
      <c r="X31" s="511">
        <f t="shared" si="9"/>
        <v>2310.8282719516974</v>
      </c>
      <c r="AE31" s="629" t="str">
        <f t="shared" si="0"/>
        <v>66.529</v>
      </c>
      <c r="AF31" s="642"/>
      <c r="AG31" s="643"/>
      <c r="AH31" s="647"/>
      <c r="AI31" s="645">
        <f t="shared" si="1"/>
        <v>66.528999999999996</v>
      </c>
      <c r="AJ31" s="646">
        <f t="shared" si="2"/>
        <v>66.528999999999996</v>
      </c>
      <c r="AK31" s="630"/>
      <c r="AL31" s="630"/>
      <c r="AM31" s="630"/>
      <c r="AN31" s="630"/>
      <c r="AO31" s="630"/>
      <c r="AP31" s="630"/>
    </row>
    <row r="32" spans="1:42" x14ac:dyDescent="0.2">
      <c r="A32" s="502" t="s">
        <v>278</v>
      </c>
      <c r="B32" s="504">
        <v>20130329</v>
      </c>
      <c r="C32" s="503">
        <v>0.375</v>
      </c>
      <c r="D32" s="575">
        <v>1440</v>
      </c>
      <c r="E32" s="504"/>
      <c r="F32" s="505">
        <v>5354.0766599999997</v>
      </c>
      <c r="G32" s="505">
        <v>19.397694000000001</v>
      </c>
      <c r="H32" s="504">
        <v>61.389488</v>
      </c>
      <c r="I32" s="507"/>
      <c r="J32" s="576">
        <v>28.681999999999999</v>
      </c>
      <c r="K32" s="577">
        <v>815577.75</v>
      </c>
      <c r="L32" s="578">
        <v>0</v>
      </c>
      <c r="N32" s="114">
        <v>28</v>
      </c>
      <c r="O32" s="554">
        <f t="shared" si="3"/>
        <v>8752.8834079594671</v>
      </c>
      <c r="P32" s="510">
        <f>'Balance de Energía'!AR38</f>
        <v>36646.572252444697</v>
      </c>
      <c r="Q32" s="511">
        <f t="shared" si="4"/>
        <v>983.56150855240526</v>
      </c>
      <c r="S32" s="514">
        <f t="shared" si="5"/>
        <v>28682</v>
      </c>
      <c r="T32" s="581">
        <f t="shared" si="6"/>
        <v>1012895.36494</v>
      </c>
      <c r="V32" s="509">
        <f t="shared" si="7"/>
        <v>251.05020190709342</v>
      </c>
      <c r="W32" s="510">
        <f t="shared" si="8"/>
        <v>1051.0969853446188</v>
      </c>
      <c r="X32" s="511">
        <f t="shared" si="9"/>
        <v>996.24489314612549</v>
      </c>
      <c r="AE32" s="629" t="str">
        <f t="shared" si="0"/>
        <v>28.682</v>
      </c>
      <c r="AF32" s="642"/>
      <c r="AG32" s="643"/>
      <c r="AH32" s="647"/>
      <c r="AI32" s="645">
        <f t="shared" si="1"/>
        <v>28.681999999999999</v>
      </c>
      <c r="AJ32" s="646">
        <f t="shared" si="2"/>
        <v>28.681999999999999</v>
      </c>
      <c r="AK32" s="630"/>
      <c r="AL32" s="630"/>
      <c r="AM32" s="630"/>
      <c r="AN32" s="630"/>
      <c r="AO32" s="630"/>
      <c r="AP32" s="630"/>
    </row>
    <row r="33" spans="1:42" x14ac:dyDescent="0.2">
      <c r="A33" s="502" t="s">
        <v>278</v>
      </c>
      <c r="B33" s="504">
        <v>20130330</v>
      </c>
      <c r="C33" s="503">
        <v>0.29166666666666669</v>
      </c>
      <c r="D33" s="575">
        <v>1440</v>
      </c>
      <c r="E33" s="504"/>
      <c r="F33" s="505">
        <v>5354.0766599999997</v>
      </c>
      <c r="G33" s="505">
        <v>19.397694000000001</v>
      </c>
      <c r="H33" s="504">
        <v>61.389488</v>
      </c>
      <c r="I33" s="507"/>
      <c r="J33" s="576">
        <v>26.193999999999999</v>
      </c>
      <c r="K33" s="577">
        <v>815577.75</v>
      </c>
      <c r="L33" s="578">
        <v>0</v>
      </c>
      <c r="N33" s="114">
        <v>29</v>
      </c>
      <c r="O33" s="554">
        <f t="shared" si="3"/>
        <v>8752.8834079594671</v>
      </c>
      <c r="P33" s="510">
        <f>'Balance de Energía'!AR39</f>
        <v>36646.572252444697</v>
      </c>
      <c r="Q33" s="511">
        <f t="shared" si="4"/>
        <v>983.56150855240526</v>
      </c>
      <c r="S33" s="514">
        <f t="shared" si="5"/>
        <v>26194</v>
      </c>
      <c r="T33" s="581">
        <f t="shared" si="6"/>
        <v>925032.46597999998</v>
      </c>
      <c r="V33" s="509">
        <f t="shared" si="7"/>
        <v>229.27302798809026</v>
      </c>
      <c r="W33" s="510">
        <f t="shared" si="8"/>
        <v>959.92031358053634</v>
      </c>
      <c r="X33" s="511">
        <f t="shared" si="9"/>
        <v>909.82632769924032</v>
      </c>
      <c r="AE33" s="629" t="str">
        <f t="shared" si="0"/>
        <v>26.194</v>
      </c>
      <c r="AF33" s="642"/>
      <c r="AG33" s="643"/>
      <c r="AH33" s="647"/>
      <c r="AI33" s="645">
        <f t="shared" si="1"/>
        <v>26.193999999999999</v>
      </c>
      <c r="AJ33" s="646">
        <f t="shared" si="2"/>
        <v>26.193999999999999</v>
      </c>
      <c r="AK33" s="630"/>
      <c r="AL33" s="630"/>
      <c r="AM33" s="630"/>
      <c r="AN33" s="630"/>
      <c r="AO33" s="630"/>
      <c r="AP33" s="630"/>
    </row>
    <row r="34" spans="1:42" x14ac:dyDescent="0.2">
      <c r="A34" s="502" t="s">
        <v>278</v>
      </c>
      <c r="B34" s="504">
        <v>20130331</v>
      </c>
      <c r="C34" s="503">
        <v>0.29166666666666669</v>
      </c>
      <c r="D34" s="575">
        <v>1440</v>
      </c>
      <c r="E34" s="504"/>
      <c r="F34" s="505">
        <v>5354.0766599999997</v>
      </c>
      <c r="G34" s="505">
        <v>19.397694000000001</v>
      </c>
      <c r="H34" s="504">
        <v>61.389488</v>
      </c>
      <c r="I34" s="507"/>
      <c r="J34" s="576">
        <v>26.818000000000001</v>
      </c>
      <c r="K34" s="577">
        <v>815577.75</v>
      </c>
      <c r="L34" s="578">
        <v>0</v>
      </c>
      <c r="N34" s="114">
        <v>30</v>
      </c>
      <c r="O34" s="554">
        <f t="shared" si="3"/>
        <v>8752.8834079594671</v>
      </c>
      <c r="P34" s="510">
        <f>'Balance de Energía'!AR40</f>
        <v>36646.572252444697</v>
      </c>
      <c r="Q34" s="511">
        <f t="shared" si="4"/>
        <v>983.56150855240526</v>
      </c>
      <c r="S34" s="514">
        <f t="shared" si="5"/>
        <v>26818</v>
      </c>
      <c r="T34" s="581">
        <f t="shared" si="6"/>
        <v>947068.82005999994</v>
      </c>
      <c r="V34" s="509">
        <f t="shared" si="7"/>
        <v>234.73482723465699</v>
      </c>
      <c r="W34" s="510">
        <f t="shared" si="8"/>
        <v>982.78777466606186</v>
      </c>
      <c r="X34" s="511">
        <f t="shared" si="9"/>
        <v>931.50043736116004</v>
      </c>
      <c r="AE34" s="629" t="str">
        <f t="shared" si="0"/>
        <v>26.818</v>
      </c>
      <c r="AF34" s="642"/>
      <c r="AG34" s="643"/>
      <c r="AH34" s="647"/>
      <c r="AI34" s="645">
        <f t="shared" si="1"/>
        <v>26.818000000000001</v>
      </c>
      <c r="AJ34" s="646">
        <f t="shared" si="2"/>
        <v>26.818000000000001</v>
      </c>
      <c r="AK34" s="630"/>
      <c r="AL34" s="630"/>
      <c r="AM34" s="630"/>
      <c r="AN34" s="630"/>
      <c r="AO34" s="630"/>
      <c r="AP34" s="630"/>
    </row>
    <row r="35" spans="1:42" ht="13.5" thickBot="1" x14ac:dyDescent="0.25">
      <c r="A35" s="148" t="s">
        <v>278</v>
      </c>
      <c r="B35" s="146">
        <v>20130401</v>
      </c>
      <c r="C35" s="520">
        <v>0.29166666666666669</v>
      </c>
      <c r="D35" s="582">
        <v>1440</v>
      </c>
      <c r="E35" s="146"/>
      <c r="F35" s="521">
        <v>5354.0766599999997</v>
      </c>
      <c r="G35" s="521">
        <v>19.397694000000001</v>
      </c>
      <c r="H35" s="146">
        <v>61.389488</v>
      </c>
      <c r="I35" s="523"/>
      <c r="J35" s="583">
        <v>37.000999999999998</v>
      </c>
      <c r="K35" s="387">
        <v>815577.75</v>
      </c>
      <c r="L35" s="150">
        <v>0</v>
      </c>
      <c r="N35" s="114">
        <v>31</v>
      </c>
      <c r="O35" s="555">
        <f t="shared" si="3"/>
        <v>8752.8834079594671</v>
      </c>
      <c r="P35" s="516">
        <f>'Balance de Energía'!AR41</f>
        <v>36646.572252444697</v>
      </c>
      <c r="Q35" s="517">
        <f t="shared" si="4"/>
        <v>983.56150855240526</v>
      </c>
      <c r="S35" s="518">
        <f t="shared" si="5"/>
        <v>37001</v>
      </c>
      <c r="T35" s="584">
        <f t="shared" si="6"/>
        <v>1306678.10467</v>
      </c>
      <c r="V35" s="585">
        <f t="shared" si="7"/>
        <v>323.86543897790824</v>
      </c>
      <c r="W35" s="516">
        <f t="shared" si="8"/>
        <v>1355.9598199127061</v>
      </c>
      <c r="X35" s="517">
        <f t="shared" si="9"/>
        <v>1285.1982878216229</v>
      </c>
      <c r="AE35" s="629" t="str">
        <f t="shared" si="0"/>
        <v>37.001</v>
      </c>
      <c r="AF35" s="648"/>
      <c r="AG35" s="649"/>
      <c r="AH35" s="650"/>
      <c r="AI35" s="651">
        <f t="shared" si="1"/>
        <v>37.000999999999998</v>
      </c>
      <c r="AJ35" s="652">
        <f t="shared" si="2"/>
        <v>37.000999999999998</v>
      </c>
      <c r="AK35" s="630"/>
      <c r="AL35" s="630"/>
      <c r="AM35" s="630"/>
      <c r="AN35" s="630"/>
      <c r="AO35" s="630"/>
      <c r="AP35" s="630"/>
    </row>
    <row r="36" spans="1:42" ht="13.5" thickBot="1" x14ac:dyDescent="0.25">
      <c r="C36" s="586"/>
      <c r="J36" s="587"/>
      <c r="AE36" s="629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</row>
    <row r="37" spans="1:42" ht="13.5" thickBot="1" x14ac:dyDescent="0.25">
      <c r="A37" s="533" t="s">
        <v>169</v>
      </c>
      <c r="B37" s="534">
        <f>COUNT(B4:B35)</f>
        <v>32</v>
      </c>
      <c r="E37" s="533" t="s">
        <v>170</v>
      </c>
      <c r="F37" s="535">
        <f>MAX(F4:F35)</f>
        <v>5522.2158200000003</v>
      </c>
      <c r="G37" s="535">
        <f>MAX(G4:G35)</f>
        <v>19.595542999999999</v>
      </c>
      <c r="I37" s="533" t="s">
        <v>195</v>
      </c>
      <c r="J37" s="588">
        <f>SUM(J5:J35)</f>
        <v>2331.5100000000002</v>
      </c>
      <c r="N37" s="533" t="s">
        <v>171</v>
      </c>
      <c r="O37" s="536">
        <f>AVERAGE(O5:O35)</f>
        <v>8713.7456348162505</v>
      </c>
      <c r="P37" s="536">
        <f>AVERAGE(P5:P35)</f>
        <v>36482.710223848648</v>
      </c>
      <c r="Q37" s="537">
        <f>AVERAGE(Q5:Q35)</f>
        <v>979.16359698430085</v>
      </c>
      <c r="S37" s="538">
        <f>SUM(S5:S35)</f>
        <v>2331510</v>
      </c>
      <c r="T37" s="539">
        <f>SUM(T5:T35)</f>
        <v>82336506.251699984</v>
      </c>
      <c r="V37" s="540">
        <f>SUM(V5:V35)</f>
        <v>20302.780666453917</v>
      </c>
      <c r="W37" s="541">
        <f>SUM(W5:W35)</f>
        <v>85003.682094309246</v>
      </c>
      <c r="X37" s="542">
        <f>SUM(X5:X35)</f>
        <v>80567.716743386147</v>
      </c>
      <c r="AE37" s="629"/>
      <c r="AF37" s="653" t="s">
        <v>208</v>
      </c>
      <c r="AG37" s="654">
        <f>COUNT(AG4:AG35)</f>
        <v>0</v>
      </c>
      <c r="AH37" s="630"/>
      <c r="AI37" s="630"/>
      <c r="AJ37" s="655">
        <f>SUM(AJ4:AJ34)</f>
        <v>2373.3449999999998</v>
      </c>
      <c r="AK37" s="656" t="s">
        <v>176</v>
      </c>
      <c r="AL37" s="656"/>
      <c r="AM37" s="656"/>
      <c r="AN37" s="656"/>
      <c r="AO37" s="656"/>
      <c r="AP37" s="630"/>
    </row>
    <row r="38" spans="1:42" ht="13.5" thickBot="1" x14ac:dyDescent="0.25">
      <c r="E38" s="533" t="s">
        <v>171</v>
      </c>
      <c r="F38" s="543">
        <f>AVERAGE(F4:F35)</f>
        <v>5360.3477476562502</v>
      </c>
      <c r="G38" s="543">
        <f>AVERAGE(G4:G35)</f>
        <v>19.286248624999999</v>
      </c>
      <c r="I38" s="533" t="s">
        <v>194</v>
      </c>
      <c r="J38" s="584">
        <f>J37*35.31467</f>
        <v>82336.506251700004</v>
      </c>
      <c r="O38" s="545" t="s">
        <v>173</v>
      </c>
      <c r="P38" s="545" t="s">
        <v>174</v>
      </c>
      <c r="Q38" s="545" t="s">
        <v>175</v>
      </c>
      <c r="S38" s="546" t="s">
        <v>176</v>
      </c>
      <c r="T38" s="546" t="s">
        <v>176</v>
      </c>
      <c r="V38" s="546" t="s">
        <v>176</v>
      </c>
      <c r="W38" s="546" t="s">
        <v>176</v>
      </c>
      <c r="X38" s="546" t="s">
        <v>176</v>
      </c>
      <c r="AE38" s="629"/>
      <c r="AF38" s="653" t="s">
        <v>209</v>
      </c>
      <c r="AG38" s="626">
        <f>COUNT(B4:B35)-COUNT(AG4:AG35)</f>
        <v>32</v>
      </c>
      <c r="AH38" s="630"/>
      <c r="AI38" s="630"/>
      <c r="AJ38" s="657">
        <f>AJ37/SUM(AI5:AI35)</f>
        <v>1.0179433071271407</v>
      </c>
      <c r="AK38" s="656" t="s">
        <v>216</v>
      </c>
      <c r="AL38" s="630"/>
      <c r="AM38" s="630"/>
      <c r="AN38" s="630"/>
      <c r="AO38" s="630"/>
      <c r="AP38" s="630"/>
    </row>
    <row r="39" spans="1:42" ht="13.5" thickBot="1" x14ac:dyDescent="0.25">
      <c r="E39" s="533" t="s">
        <v>177</v>
      </c>
      <c r="F39" s="544">
        <f>MIN(F4:F35)</f>
        <v>5354.0766599999997</v>
      </c>
      <c r="G39" s="544">
        <f>MIN(G4:G35)</f>
        <v>18.860289000000002</v>
      </c>
      <c r="S39" s="119" t="s">
        <v>68</v>
      </c>
      <c r="T39" s="119" t="s">
        <v>178</v>
      </c>
      <c r="V39" s="119" t="s">
        <v>179</v>
      </c>
      <c r="W39" s="119" t="s">
        <v>180</v>
      </c>
      <c r="X39" s="119" t="s">
        <v>181</v>
      </c>
      <c r="AE39" s="629"/>
      <c r="AF39" s="630"/>
      <c r="AG39" s="630"/>
      <c r="AH39" s="630"/>
      <c r="AI39" s="630"/>
      <c r="AJ39" s="630"/>
      <c r="AK39" s="630"/>
      <c r="AL39" s="630"/>
      <c r="AM39" s="630"/>
      <c r="AN39" s="630"/>
      <c r="AO39" s="630"/>
      <c r="AP39" s="630"/>
    </row>
    <row r="40" spans="1:42" ht="13.5" thickBot="1" x14ac:dyDescent="0.25">
      <c r="F40" s="119" t="s">
        <v>196</v>
      </c>
      <c r="G40" s="119" t="s">
        <v>183</v>
      </c>
      <c r="AE40" s="629"/>
      <c r="AF40" s="630"/>
      <c r="AG40" s="630"/>
      <c r="AH40" s="630"/>
      <c r="AI40" s="630"/>
      <c r="AJ40" s="630"/>
      <c r="AK40" s="630"/>
      <c r="AL40" s="630"/>
      <c r="AM40" s="630"/>
      <c r="AN40" s="630"/>
      <c r="AO40" s="630"/>
      <c r="AP40" s="630"/>
    </row>
    <row r="41" spans="1:42" ht="13.5" thickBot="1" x14ac:dyDescent="0.25">
      <c r="O41" s="194"/>
      <c r="AE41" s="629"/>
      <c r="AF41" s="653" t="s">
        <v>211</v>
      </c>
      <c r="AG41" s="654">
        <v>1</v>
      </c>
      <c r="AH41" s="630" t="s">
        <v>68</v>
      </c>
      <c r="AI41" s="630"/>
      <c r="AJ41" s="630"/>
      <c r="AK41" s="630"/>
      <c r="AL41" s="630"/>
      <c r="AM41" s="630"/>
      <c r="AN41" s="630"/>
      <c r="AO41" s="630"/>
      <c r="AP41" s="630"/>
    </row>
    <row r="42" spans="1:42" ht="13.5" thickBot="1" x14ac:dyDescent="0.25">
      <c r="AE42" s="629"/>
      <c r="AF42" s="653" t="s">
        <v>212</v>
      </c>
      <c r="AG42" s="658">
        <v>0.01</v>
      </c>
      <c r="AH42" s="630"/>
      <c r="AI42" s="630"/>
      <c r="AJ42" s="630"/>
      <c r="AK42" s="630"/>
      <c r="AL42" s="630"/>
      <c r="AM42" s="630"/>
      <c r="AN42" s="630"/>
      <c r="AO42" s="630"/>
      <c r="AP42" s="630"/>
    </row>
    <row r="43" spans="1:42" x14ac:dyDescent="0.2">
      <c r="E43" s="548" t="s">
        <v>184</v>
      </c>
      <c r="F43" s="549">
        <v>0.1</v>
      </c>
      <c r="G43" s="548"/>
      <c r="H43" s="548"/>
      <c r="I43" s="548"/>
      <c r="AE43" s="629"/>
      <c r="AF43" s="630"/>
      <c r="AG43" s="630"/>
      <c r="AH43" s="630"/>
      <c r="AI43" s="630"/>
      <c r="AJ43" s="630"/>
      <c r="AK43" s="630"/>
      <c r="AL43" s="630"/>
      <c r="AM43" s="630"/>
      <c r="AN43" s="630"/>
      <c r="AO43" s="630"/>
      <c r="AP43" s="630"/>
    </row>
    <row r="44" spans="1:42" x14ac:dyDescent="0.2">
      <c r="E44" s="550" t="s">
        <v>185</v>
      </c>
      <c r="F44" s="551">
        <f>F38*(1+$F$43)</f>
        <v>5896.3825224218754</v>
      </c>
      <c r="G44" s="551">
        <f>G38*(1+$F$43)</f>
        <v>21.2148734875</v>
      </c>
      <c r="H44" s="548"/>
      <c r="I44" s="548"/>
      <c r="AE44" s="629"/>
      <c r="AF44" s="630"/>
      <c r="AG44" s="630"/>
      <c r="AH44" s="630"/>
      <c r="AI44" s="630"/>
      <c r="AJ44" s="630"/>
      <c r="AK44" s="630"/>
      <c r="AL44" s="630"/>
      <c r="AM44" s="630"/>
      <c r="AN44" s="630"/>
      <c r="AO44" s="630"/>
      <c r="AP44" s="630"/>
    </row>
    <row r="45" spans="1:42" x14ac:dyDescent="0.2">
      <c r="E45" s="550" t="s">
        <v>186</v>
      </c>
      <c r="F45" s="551">
        <f>F38*(1-$F$43)</f>
        <v>4824.3129728906251</v>
      </c>
      <c r="G45" s="551">
        <f>G38*(1-$F$43)</f>
        <v>17.357623762500001</v>
      </c>
      <c r="H45" s="548"/>
      <c r="I45" s="548"/>
    </row>
    <row r="46" spans="1:42" x14ac:dyDescent="0.2">
      <c r="A46" s="533" t="s">
        <v>187</v>
      </c>
      <c r="B46" s="688" t="s">
        <v>238</v>
      </c>
      <c r="E46" s="548"/>
      <c r="F46" s="551"/>
      <c r="G46" s="548"/>
      <c r="H46" s="548"/>
      <c r="I46" s="548"/>
    </row>
    <row r="47" spans="1:42" x14ac:dyDescent="0.2">
      <c r="A47" s="533" t="s">
        <v>189</v>
      </c>
      <c r="B47" s="553">
        <v>41199</v>
      </c>
      <c r="E47" s="548"/>
      <c r="F47" s="548"/>
      <c r="G47" s="548"/>
      <c r="H47" s="548"/>
      <c r="I47" s="548"/>
    </row>
    <row r="48" spans="1:42" x14ac:dyDescent="0.2">
      <c r="E48" s="548"/>
      <c r="F48" s="548"/>
      <c r="G48" s="548"/>
      <c r="H48" s="548"/>
      <c r="I48" s="548"/>
    </row>
    <row r="49" spans="5:9" x14ac:dyDescent="0.2">
      <c r="E49" s="548"/>
      <c r="F49" s="548"/>
      <c r="G49" s="548"/>
      <c r="H49" s="548"/>
      <c r="I49" s="548"/>
    </row>
    <row r="50" spans="5:9" x14ac:dyDescent="0.2">
      <c r="E50" s="548"/>
      <c r="F50" s="548"/>
      <c r="G50" s="548"/>
      <c r="H50" s="548"/>
      <c r="I50" s="548"/>
    </row>
    <row r="51" spans="5:9" x14ac:dyDescent="0.2">
      <c r="E51" s="548"/>
      <c r="F51" s="548"/>
      <c r="G51" s="548"/>
      <c r="H51" s="548"/>
      <c r="I51" s="548"/>
    </row>
  </sheetData>
  <phoneticPr fontId="0" type="noConversion"/>
  <conditionalFormatting sqref="J4:J35">
    <cfRule type="cellIs" dxfId="1687" priority="8" stopIfTrue="1" operator="lessThan">
      <formula>0</formula>
    </cfRule>
  </conditionalFormatting>
  <conditionalFormatting sqref="F4:F35">
    <cfRule type="cellIs" dxfId="1686" priority="5" stopIfTrue="1" operator="lessThan">
      <formula>$F$45</formula>
    </cfRule>
    <cfRule type="cellIs" dxfId="1685" priority="6" stopIfTrue="1" operator="greaterThan">
      <formula>$F$44</formula>
    </cfRule>
    <cfRule type="cellIs" dxfId="1684" priority="7" stopIfTrue="1" operator="greaterThan">
      <formula>$F$44</formula>
    </cfRule>
  </conditionalFormatting>
  <conditionalFormatting sqref="G4:G35">
    <cfRule type="cellIs" dxfId="1683" priority="3" stopIfTrue="1" operator="lessThan">
      <formula>$G$45</formula>
    </cfRule>
    <cfRule type="cellIs" dxfId="1682" priority="4" stopIfTrue="1" operator="greaterThan">
      <formula>$G$44</formula>
    </cfRule>
  </conditionalFormatting>
  <conditionalFormatting sqref="AH4:AH35">
    <cfRule type="cellIs" dxfId="1681" priority="2" stopIfTrue="1" operator="notBetween">
      <formula>AI4+$AG$41</formula>
      <formula>AI4-$AG$41</formula>
    </cfRule>
  </conditionalFormatting>
  <conditionalFormatting sqref="AG4:AG35">
    <cfRule type="cellIs" dxfId="1680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99</v>
      </c>
      <c r="B3" s="487">
        <v>0.375</v>
      </c>
      <c r="C3" s="488">
        <v>2013</v>
      </c>
      <c r="D3" s="488">
        <v>3</v>
      </c>
      <c r="E3" s="488">
        <v>1</v>
      </c>
      <c r="F3" s="489">
        <v>299634</v>
      </c>
      <c r="G3" s="488">
        <v>22996348</v>
      </c>
      <c r="H3" s="489">
        <v>770692</v>
      </c>
      <c r="I3" s="488">
        <v>7706920</v>
      </c>
      <c r="J3" s="488">
        <v>0</v>
      </c>
      <c r="K3" s="488">
        <v>6</v>
      </c>
      <c r="L3" s="490">
        <v>313.666</v>
      </c>
      <c r="M3" s="489">
        <v>18.98</v>
      </c>
      <c r="N3" s="491">
        <v>483.67</v>
      </c>
      <c r="O3" s="492">
        <v>12251</v>
      </c>
      <c r="P3" s="493">
        <f>F4-F3</f>
        <v>12251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12251</v>
      </c>
      <c r="W3" s="498">
        <f>V3*35.31467</f>
        <v>432640.02217000001</v>
      </c>
      <c r="X3" s="497"/>
      <c r="Y3" s="499">
        <f>V3*R3/1000000</f>
        <v>105.66143505991562</v>
      </c>
      <c r="Z3" s="500">
        <f>S3*V3/1000000</f>
        <v>442.38329630885471</v>
      </c>
      <c r="AA3" s="501">
        <f>W3*T3/1000000</f>
        <v>419.29727314016418</v>
      </c>
      <c r="AE3" s="598" t="str">
        <f>RIGHT(F3,6)</f>
        <v>299634</v>
      </c>
      <c r="AF3" s="486">
        <v>99</v>
      </c>
      <c r="AG3" s="491">
        <v>1</v>
      </c>
      <c r="AH3" s="599">
        <v>299632</v>
      </c>
      <c r="AI3" s="600">
        <f>IFERROR(AE3*1,0)</f>
        <v>299634</v>
      </c>
      <c r="AJ3" s="601">
        <f>(AI3-AH3)</f>
        <v>2</v>
      </c>
      <c r="AL3" s="602">
        <f>AH4-AH3</f>
        <v>-299632</v>
      </c>
      <c r="AM3" s="603">
        <f>AI4-AI3</f>
        <v>12251</v>
      </c>
      <c r="AN3" s="604">
        <f>(AM3-AL3)</f>
        <v>311883</v>
      </c>
      <c r="AO3" s="605">
        <f>IFERROR(AN3/AM3,"")</f>
        <v>25.457758550322424</v>
      </c>
    </row>
    <row r="4" spans="1:41" x14ac:dyDescent="0.2">
      <c r="A4" s="502">
        <v>99</v>
      </c>
      <c r="B4" s="503">
        <v>0.375</v>
      </c>
      <c r="C4" s="504">
        <v>2013</v>
      </c>
      <c r="D4" s="504">
        <v>3</v>
      </c>
      <c r="E4" s="504">
        <v>2</v>
      </c>
      <c r="F4" s="505">
        <v>311885</v>
      </c>
      <c r="G4" s="504">
        <v>23118851</v>
      </c>
      <c r="H4" s="505">
        <v>771220</v>
      </c>
      <c r="I4" s="504">
        <v>7712206</v>
      </c>
      <c r="J4" s="504">
        <v>0</v>
      </c>
      <c r="K4" s="504">
        <v>6</v>
      </c>
      <c r="L4" s="506">
        <v>313.733</v>
      </c>
      <c r="M4" s="505">
        <v>17.989999999999998</v>
      </c>
      <c r="N4" s="507">
        <v>596.76</v>
      </c>
      <c r="O4" s="508">
        <v>9583</v>
      </c>
      <c r="P4" s="493">
        <f t="shared" ref="P4:P33" si="0">F5-F4</f>
        <v>9583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9583</v>
      </c>
      <c r="W4" s="512">
        <f>V4*35.31467</f>
        <v>338420.48261000001</v>
      </c>
      <c r="X4" s="497"/>
      <c r="Y4" s="513">
        <f>V4*R4/1000000</f>
        <v>82.578281876183411</v>
      </c>
      <c r="Z4" s="510">
        <f>S4*V4/1000000</f>
        <v>345.73875055920462</v>
      </c>
      <c r="AA4" s="511">
        <f>W4*T4/1000000</f>
        <v>327.69617781217357</v>
      </c>
      <c r="AE4" s="598" t="str">
        <f t="shared" ref="AE4:AE34" si="3">RIGHT(F4,6)</f>
        <v>311885</v>
      </c>
      <c r="AF4" s="502"/>
      <c r="AG4" s="606"/>
      <c r="AH4" s="607"/>
      <c r="AI4" s="608">
        <f t="shared" ref="AI4:AI34" si="4">IFERROR(AE4*1,0)</f>
        <v>311885</v>
      </c>
      <c r="AJ4" s="609">
        <f t="shared" ref="AJ4:AJ34" si="5">(AI4-AH4)</f>
        <v>311885</v>
      </c>
      <c r="AL4" s="602">
        <f t="shared" ref="AL4:AM33" si="6">AH5-AH4</f>
        <v>0</v>
      </c>
      <c r="AM4" s="610">
        <f t="shared" si="6"/>
        <v>9583</v>
      </c>
      <c r="AN4" s="611">
        <f t="shared" ref="AN4:AN33" si="7">(AM4-AL4)</f>
        <v>9583</v>
      </c>
      <c r="AO4" s="612">
        <f t="shared" ref="AO4:AO33" si="8">IFERROR(AN4/AM4,"")</f>
        <v>1</v>
      </c>
    </row>
    <row r="5" spans="1:41" x14ac:dyDescent="0.2">
      <c r="A5" s="502">
        <v>99</v>
      </c>
      <c r="B5" s="503">
        <v>0.375</v>
      </c>
      <c r="C5" s="504">
        <v>2013</v>
      </c>
      <c r="D5" s="504">
        <v>3</v>
      </c>
      <c r="E5" s="504">
        <v>3</v>
      </c>
      <c r="F5" s="505">
        <v>321468</v>
      </c>
      <c r="G5" s="504">
        <v>23214683</v>
      </c>
      <c r="H5" s="505">
        <v>771625</v>
      </c>
      <c r="I5" s="504">
        <v>7716253</v>
      </c>
      <c r="J5" s="504">
        <v>0</v>
      </c>
      <c r="K5" s="504">
        <v>6</v>
      </c>
      <c r="L5" s="506">
        <v>319.84640000000002</v>
      </c>
      <c r="M5" s="505">
        <v>17.05</v>
      </c>
      <c r="N5" s="507">
        <v>566.17999999999995</v>
      </c>
      <c r="O5" s="508">
        <v>7334</v>
      </c>
      <c r="P5" s="493">
        <f t="shared" si="0"/>
        <v>7334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7334</v>
      </c>
      <c r="W5" s="512">
        <f t="shared" ref="W5:W33" si="10">V5*35.31467</f>
        <v>258997.78977999999</v>
      </c>
      <c r="X5" s="497"/>
      <c r="Y5" s="513">
        <f t="shared" ref="Y5:Y33" si="11">V5*R5/1000000</f>
        <v>63.367060893791127</v>
      </c>
      <c r="Z5" s="510">
        <f t="shared" ref="Z5:Z33" si="12">S5*V5/1000000</f>
        <v>265.30521055012468</v>
      </c>
      <c r="AA5" s="511">
        <f t="shared" ref="AA5:AA33" si="13">W5*T5/1000000</f>
        <v>251.46010769782714</v>
      </c>
      <c r="AE5" s="598" t="str">
        <f t="shared" si="3"/>
        <v>321468</v>
      </c>
      <c r="AF5" s="502"/>
      <c r="AG5" s="606"/>
      <c r="AH5" s="607"/>
      <c r="AI5" s="608">
        <f t="shared" si="4"/>
        <v>321468</v>
      </c>
      <c r="AJ5" s="609">
        <f t="shared" si="5"/>
        <v>321468</v>
      </c>
      <c r="AL5" s="602">
        <f t="shared" si="6"/>
        <v>0</v>
      </c>
      <c r="AM5" s="610">
        <f t="shared" si="6"/>
        <v>7334</v>
      </c>
      <c r="AN5" s="611">
        <f t="shared" si="7"/>
        <v>7334</v>
      </c>
      <c r="AO5" s="612">
        <f t="shared" si="8"/>
        <v>1</v>
      </c>
    </row>
    <row r="6" spans="1:41" x14ac:dyDescent="0.2">
      <c r="A6" s="502">
        <v>99</v>
      </c>
      <c r="B6" s="503">
        <v>0.375</v>
      </c>
      <c r="C6" s="504">
        <v>2013</v>
      </c>
      <c r="D6" s="504">
        <v>3</v>
      </c>
      <c r="E6" s="504">
        <v>4</v>
      </c>
      <c r="F6" s="505">
        <v>328802</v>
      </c>
      <c r="G6" s="504">
        <v>23288024</v>
      </c>
      <c r="H6" s="505">
        <v>771934</v>
      </c>
      <c r="I6" s="504">
        <v>7719343</v>
      </c>
      <c r="J6" s="504">
        <v>0</v>
      </c>
      <c r="K6" s="504">
        <v>6</v>
      </c>
      <c r="L6" s="506">
        <v>320.48559999999998</v>
      </c>
      <c r="M6" s="505">
        <v>17.579999999999998</v>
      </c>
      <c r="N6" s="507">
        <v>399.5</v>
      </c>
      <c r="O6" s="508">
        <v>9132</v>
      </c>
      <c r="P6" s="493">
        <f t="shared" si="0"/>
        <v>9132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9132</v>
      </c>
      <c r="W6" s="512">
        <f t="shared" si="10"/>
        <v>322493.56644000002</v>
      </c>
      <c r="X6" s="497"/>
      <c r="Y6" s="513">
        <f t="shared" si="11"/>
        <v>79.183899490566262</v>
      </c>
      <c r="Z6" s="510">
        <f t="shared" si="12"/>
        <v>331.52715038710284</v>
      </c>
      <c r="AA6" s="511">
        <f t="shared" si="13"/>
        <v>314.22621805365617</v>
      </c>
      <c r="AE6" s="598" t="str">
        <f t="shared" si="3"/>
        <v>328802</v>
      </c>
      <c r="AF6" s="502"/>
      <c r="AG6" s="606"/>
      <c r="AH6" s="607"/>
      <c r="AI6" s="608">
        <f t="shared" si="4"/>
        <v>328802</v>
      </c>
      <c r="AJ6" s="609">
        <f t="shared" si="5"/>
        <v>328802</v>
      </c>
      <c r="AL6" s="602">
        <f t="shared" si="6"/>
        <v>0</v>
      </c>
      <c r="AM6" s="610">
        <f t="shared" si="6"/>
        <v>9132</v>
      </c>
      <c r="AN6" s="611">
        <f t="shared" si="7"/>
        <v>9132</v>
      </c>
      <c r="AO6" s="612">
        <f t="shared" si="8"/>
        <v>1</v>
      </c>
    </row>
    <row r="7" spans="1:41" x14ac:dyDescent="0.2">
      <c r="A7" s="502">
        <v>99</v>
      </c>
      <c r="B7" s="503">
        <v>0.375</v>
      </c>
      <c r="C7" s="504">
        <v>2013</v>
      </c>
      <c r="D7" s="504">
        <v>3</v>
      </c>
      <c r="E7" s="504">
        <v>5</v>
      </c>
      <c r="F7" s="505">
        <v>337934</v>
      </c>
      <c r="G7" s="504">
        <v>23379347</v>
      </c>
      <c r="H7" s="505">
        <v>772332</v>
      </c>
      <c r="I7" s="504">
        <v>7723323</v>
      </c>
      <c r="J7" s="504">
        <v>0</v>
      </c>
      <c r="K7" s="504">
        <v>6</v>
      </c>
      <c r="L7" s="506">
        <v>311.15010000000001</v>
      </c>
      <c r="M7" s="505">
        <v>18.43</v>
      </c>
      <c r="N7" s="507">
        <v>443.4</v>
      </c>
      <c r="O7" s="508">
        <v>9647</v>
      </c>
      <c r="P7" s="493">
        <f t="shared" si="0"/>
        <v>9647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9647</v>
      </c>
      <c r="W7" s="512">
        <f t="shared" si="10"/>
        <v>340680.62148999999</v>
      </c>
      <c r="X7" s="497"/>
      <c r="Y7" s="513">
        <f t="shared" si="11"/>
        <v>83.579703333947421</v>
      </c>
      <c r="Z7" s="510">
        <f t="shared" si="12"/>
        <v>349.93150191857097</v>
      </c>
      <c r="AA7" s="511">
        <f t="shared" si="13"/>
        <v>331.67012806437668</v>
      </c>
      <c r="AE7" s="598" t="str">
        <f t="shared" si="3"/>
        <v>337934</v>
      </c>
      <c r="AF7" s="502"/>
      <c r="AG7" s="606"/>
      <c r="AH7" s="607"/>
      <c r="AI7" s="608">
        <f t="shared" si="4"/>
        <v>337934</v>
      </c>
      <c r="AJ7" s="609">
        <f t="shared" si="5"/>
        <v>337934</v>
      </c>
      <c r="AL7" s="602">
        <f t="shared" si="6"/>
        <v>0</v>
      </c>
      <c r="AM7" s="610">
        <f t="shared" si="6"/>
        <v>9647</v>
      </c>
      <c r="AN7" s="611">
        <f t="shared" si="7"/>
        <v>9647</v>
      </c>
      <c r="AO7" s="612">
        <f t="shared" si="8"/>
        <v>1</v>
      </c>
    </row>
    <row r="8" spans="1:41" x14ac:dyDescent="0.2">
      <c r="A8" s="502">
        <v>99</v>
      </c>
      <c r="B8" s="503">
        <v>0.375</v>
      </c>
      <c r="C8" s="504">
        <v>2013</v>
      </c>
      <c r="D8" s="504">
        <v>3</v>
      </c>
      <c r="E8" s="504">
        <v>6</v>
      </c>
      <c r="F8" s="505">
        <v>347581</v>
      </c>
      <c r="G8" s="504">
        <v>23475813</v>
      </c>
      <c r="H8" s="505">
        <v>772740</v>
      </c>
      <c r="I8" s="504">
        <v>7727400</v>
      </c>
      <c r="J8" s="504">
        <v>0</v>
      </c>
      <c r="K8" s="504">
        <v>6</v>
      </c>
      <c r="L8" s="506">
        <v>321.18270000000001</v>
      </c>
      <c r="M8" s="505">
        <v>18.48</v>
      </c>
      <c r="N8" s="507">
        <v>557.94000000000005</v>
      </c>
      <c r="O8" s="508">
        <v>8511</v>
      </c>
      <c r="P8" s="493">
        <f t="shared" si="0"/>
        <v>8511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8511</v>
      </c>
      <c r="W8" s="512">
        <f t="shared" si="10"/>
        <v>300563.15636999998</v>
      </c>
      <c r="X8" s="497"/>
      <c r="Y8" s="513">
        <f t="shared" si="11"/>
        <v>73.852079215025753</v>
      </c>
      <c r="Z8" s="510">
        <f t="shared" si="12"/>
        <v>309.20388525746984</v>
      </c>
      <c r="AA8" s="511">
        <f t="shared" si="13"/>
        <v>293.06790517308747</v>
      </c>
      <c r="AE8" s="598" t="str">
        <f t="shared" si="3"/>
        <v>347581</v>
      </c>
      <c r="AF8" s="502"/>
      <c r="AG8" s="606"/>
      <c r="AH8" s="607"/>
      <c r="AI8" s="608">
        <f t="shared" si="4"/>
        <v>347581</v>
      </c>
      <c r="AJ8" s="609">
        <f t="shared" si="5"/>
        <v>347581</v>
      </c>
      <c r="AL8" s="602">
        <f t="shared" si="6"/>
        <v>0</v>
      </c>
      <c r="AM8" s="610">
        <f t="shared" si="6"/>
        <v>8511</v>
      </c>
      <c r="AN8" s="611">
        <f t="shared" si="7"/>
        <v>8511</v>
      </c>
      <c r="AO8" s="612">
        <f t="shared" si="8"/>
        <v>1</v>
      </c>
    </row>
    <row r="9" spans="1:41" x14ac:dyDescent="0.2">
      <c r="A9" s="502">
        <v>99</v>
      </c>
      <c r="B9" s="503">
        <v>0.375</v>
      </c>
      <c r="C9" s="504">
        <v>2013</v>
      </c>
      <c r="D9" s="504">
        <v>3</v>
      </c>
      <c r="E9" s="504">
        <v>7</v>
      </c>
      <c r="F9" s="505">
        <v>356092</v>
      </c>
      <c r="G9" s="504">
        <v>23560921</v>
      </c>
      <c r="H9" s="505">
        <v>773095</v>
      </c>
      <c r="I9" s="504">
        <v>7730956</v>
      </c>
      <c r="J9" s="504">
        <v>0</v>
      </c>
      <c r="K9" s="504">
        <v>6</v>
      </c>
      <c r="L9" s="506">
        <v>324.6499</v>
      </c>
      <c r="M9" s="505">
        <v>18.5</v>
      </c>
      <c r="N9" s="507">
        <v>452.75</v>
      </c>
      <c r="O9" s="508">
        <v>9021</v>
      </c>
      <c r="P9" s="493">
        <f t="shared" si="0"/>
        <v>-346337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9021</v>
      </c>
      <c r="W9" s="512">
        <f t="shared" si="10"/>
        <v>318573.63806999999</v>
      </c>
      <c r="X9" s="497"/>
      <c r="Y9" s="513">
        <f t="shared" si="11"/>
        <v>78.340378833649325</v>
      </c>
      <c r="Z9" s="510">
        <f t="shared" si="12"/>
        <v>327.99549810072295</v>
      </c>
      <c r="AA9" s="511">
        <f t="shared" si="13"/>
        <v>310.87886704444338</v>
      </c>
      <c r="AE9" s="598" t="str">
        <f t="shared" si="3"/>
        <v>356092</v>
      </c>
      <c r="AF9" s="502"/>
      <c r="AG9" s="606"/>
      <c r="AH9" s="607"/>
      <c r="AI9" s="608">
        <f t="shared" si="4"/>
        <v>356092</v>
      </c>
      <c r="AJ9" s="609">
        <f t="shared" si="5"/>
        <v>356092</v>
      </c>
      <c r="AL9" s="602">
        <f t="shared" si="6"/>
        <v>0</v>
      </c>
      <c r="AM9" s="610">
        <f t="shared" si="6"/>
        <v>-346337</v>
      </c>
      <c r="AN9" s="611">
        <f t="shared" si="7"/>
        <v>-346337</v>
      </c>
      <c r="AO9" s="612">
        <f t="shared" si="8"/>
        <v>1</v>
      </c>
    </row>
    <row r="10" spans="1:41" x14ac:dyDescent="0.2">
      <c r="A10" s="502">
        <v>99</v>
      </c>
      <c r="B10" s="503">
        <v>0.375</v>
      </c>
      <c r="C10" s="504">
        <v>2013</v>
      </c>
      <c r="D10" s="504">
        <v>3</v>
      </c>
      <c r="E10" s="504">
        <v>8</v>
      </c>
      <c r="F10" s="505">
        <v>9755</v>
      </c>
      <c r="G10" s="504">
        <v>0</v>
      </c>
      <c r="H10" s="505">
        <v>773537</v>
      </c>
      <c r="I10" s="504">
        <v>0</v>
      </c>
      <c r="J10" s="504">
        <v>0</v>
      </c>
      <c r="K10" s="504">
        <v>0</v>
      </c>
      <c r="L10" s="506">
        <v>319.05119999999999</v>
      </c>
      <c r="M10" s="505">
        <v>19.2</v>
      </c>
      <c r="N10" s="507">
        <v>0</v>
      </c>
      <c r="O10" s="508">
        <v>8089</v>
      </c>
      <c r="P10" s="493">
        <f t="shared" si="0"/>
        <v>8089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8089</v>
      </c>
      <c r="W10" s="512">
        <f t="shared" si="10"/>
        <v>285660.36563000001</v>
      </c>
      <c r="X10" s="497"/>
      <c r="Y10" s="513">
        <f t="shared" si="11"/>
        <v>70.215817388607988</v>
      </c>
      <c r="Z10" s="510">
        <f t="shared" si="12"/>
        <v>293.97958424262396</v>
      </c>
      <c r="AA10" s="511">
        <f t="shared" si="13"/>
        <v>278.63809293955057</v>
      </c>
      <c r="AE10" s="598" t="str">
        <f t="shared" si="3"/>
        <v>9755</v>
      </c>
      <c r="AF10" s="502"/>
      <c r="AG10" s="606"/>
      <c r="AH10" s="607"/>
      <c r="AI10" s="608">
        <f t="shared" si="4"/>
        <v>9755</v>
      </c>
      <c r="AJ10" s="609">
        <f t="shared" si="5"/>
        <v>9755</v>
      </c>
      <c r="AL10" s="602">
        <f t="shared" si="6"/>
        <v>0</v>
      </c>
      <c r="AM10" s="610">
        <f t="shared" si="6"/>
        <v>8089</v>
      </c>
      <c r="AN10" s="611">
        <f t="shared" si="7"/>
        <v>8089</v>
      </c>
      <c r="AO10" s="612">
        <f t="shared" si="8"/>
        <v>1</v>
      </c>
    </row>
    <row r="11" spans="1:41" x14ac:dyDescent="0.2">
      <c r="A11" s="502">
        <v>99</v>
      </c>
      <c r="B11" s="503">
        <v>0.375</v>
      </c>
      <c r="C11" s="504">
        <v>2013</v>
      </c>
      <c r="D11" s="504">
        <v>3</v>
      </c>
      <c r="E11" s="504">
        <v>9</v>
      </c>
      <c r="F11" s="505">
        <v>17844</v>
      </c>
      <c r="G11" s="504">
        <v>0</v>
      </c>
      <c r="H11" s="505">
        <v>773890</v>
      </c>
      <c r="I11" s="504">
        <v>0</v>
      </c>
      <c r="J11" s="504">
        <v>0</v>
      </c>
      <c r="K11" s="504">
        <v>0</v>
      </c>
      <c r="L11" s="506">
        <v>319.8098</v>
      </c>
      <c r="M11" s="505">
        <v>19.2</v>
      </c>
      <c r="N11" s="507">
        <v>0</v>
      </c>
      <c r="O11" s="508">
        <v>7707</v>
      </c>
      <c r="P11" s="493">
        <f t="shared" si="0"/>
        <v>7707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7707</v>
      </c>
      <c r="W11" s="515">
        <f t="shared" si="10"/>
        <v>272170.16168999998</v>
      </c>
      <c r="Y11" s="513">
        <f t="shared" si="11"/>
        <v>66.947609152574714</v>
      </c>
      <c r="Z11" s="510">
        <f t="shared" si="12"/>
        <v>280.29624999999982</v>
      </c>
      <c r="AA11" s="511">
        <f t="shared" si="13"/>
        <v>265.66883125343094</v>
      </c>
      <c r="AE11" s="598" t="str">
        <f t="shared" si="3"/>
        <v>17844</v>
      </c>
      <c r="AF11" s="502"/>
      <c r="AG11" s="606"/>
      <c r="AH11" s="607"/>
      <c r="AI11" s="608">
        <f t="shared" si="4"/>
        <v>17844</v>
      </c>
      <c r="AJ11" s="609">
        <f t="shared" si="5"/>
        <v>17844</v>
      </c>
      <c r="AL11" s="602">
        <f t="shared" si="6"/>
        <v>0</v>
      </c>
      <c r="AM11" s="610">
        <f t="shared" si="6"/>
        <v>7707</v>
      </c>
      <c r="AN11" s="611">
        <f t="shared" si="7"/>
        <v>7707</v>
      </c>
      <c r="AO11" s="612">
        <f t="shared" si="8"/>
        <v>1</v>
      </c>
    </row>
    <row r="12" spans="1:41" x14ac:dyDescent="0.2">
      <c r="A12" s="502">
        <v>99</v>
      </c>
      <c r="B12" s="503">
        <v>0.375</v>
      </c>
      <c r="C12" s="504">
        <v>2013</v>
      </c>
      <c r="D12" s="504">
        <v>3</v>
      </c>
      <c r="E12" s="504">
        <v>10</v>
      </c>
      <c r="F12" s="505">
        <v>25551</v>
      </c>
      <c r="G12" s="504">
        <v>0</v>
      </c>
      <c r="H12" s="505">
        <v>774220</v>
      </c>
      <c r="I12" s="504">
        <v>0</v>
      </c>
      <c r="J12" s="504">
        <v>0</v>
      </c>
      <c r="K12" s="504">
        <v>0</v>
      </c>
      <c r="L12" s="506">
        <v>326.17419999999998</v>
      </c>
      <c r="M12" s="505">
        <v>19.399999999999999</v>
      </c>
      <c r="N12" s="507">
        <v>0</v>
      </c>
      <c r="O12" s="508">
        <v>6625</v>
      </c>
      <c r="P12" s="493">
        <f t="shared" si="0"/>
        <v>6625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6625</v>
      </c>
      <c r="W12" s="515">
        <f t="shared" si="10"/>
        <v>233959.68875</v>
      </c>
      <c r="Y12" s="513">
        <f t="shared" si="11"/>
        <v>57.630176977987404</v>
      </c>
      <c r="Z12" s="510">
        <f t="shared" si="12"/>
        <v>241.28602497143766</v>
      </c>
      <c r="AA12" s="511">
        <f t="shared" si="13"/>
        <v>228.69437693850003</v>
      </c>
      <c r="AE12" s="598" t="str">
        <f t="shared" si="3"/>
        <v>25551</v>
      </c>
      <c r="AF12" s="502"/>
      <c r="AG12" s="606"/>
      <c r="AH12" s="607"/>
      <c r="AI12" s="608">
        <f t="shared" si="4"/>
        <v>25551</v>
      </c>
      <c r="AJ12" s="609">
        <f t="shared" si="5"/>
        <v>25551</v>
      </c>
      <c r="AL12" s="602">
        <f t="shared" si="6"/>
        <v>0</v>
      </c>
      <c r="AM12" s="610">
        <f t="shared" si="6"/>
        <v>6625</v>
      </c>
      <c r="AN12" s="611">
        <f t="shared" si="7"/>
        <v>6625</v>
      </c>
      <c r="AO12" s="612">
        <f t="shared" si="8"/>
        <v>1</v>
      </c>
    </row>
    <row r="13" spans="1:41" x14ac:dyDescent="0.2">
      <c r="A13" s="502">
        <v>99</v>
      </c>
      <c r="B13" s="503">
        <v>0.375</v>
      </c>
      <c r="C13" s="504">
        <v>2013</v>
      </c>
      <c r="D13" s="504">
        <v>3</v>
      </c>
      <c r="E13" s="504">
        <v>11</v>
      </c>
      <c r="F13" s="505">
        <v>32176</v>
      </c>
      <c r="G13" s="504">
        <v>0</v>
      </c>
      <c r="H13" s="505">
        <v>774504</v>
      </c>
      <c r="I13" s="504">
        <v>0</v>
      </c>
      <c r="J13" s="504">
        <v>0</v>
      </c>
      <c r="K13" s="504">
        <v>0</v>
      </c>
      <c r="L13" s="506">
        <v>325.48099999999999</v>
      </c>
      <c r="M13" s="505">
        <v>19.3</v>
      </c>
      <c r="N13" s="507">
        <v>0</v>
      </c>
      <c r="O13" s="508">
        <v>8072</v>
      </c>
      <c r="P13" s="493">
        <f t="shared" si="0"/>
        <v>8072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8072</v>
      </c>
      <c r="W13" s="515">
        <f t="shared" si="10"/>
        <v>285060.01623999997</v>
      </c>
      <c r="Y13" s="513">
        <f t="shared" si="11"/>
        <v>70.095870947617158</v>
      </c>
      <c r="Z13" s="510">
        <f t="shared" si="12"/>
        <v>293.47739248348347</v>
      </c>
      <c r="AA13" s="511">
        <f t="shared" si="13"/>
        <v>278.16210834212563</v>
      </c>
      <c r="AE13" s="598" t="str">
        <f t="shared" si="3"/>
        <v>32176</v>
      </c>
      <c r="AF13" s="502"/>
      <c r="AG13" s="606"/>
      <c r="AH13" s="607"/>
      <c r="AI13" s="608">
        <f t="shared" si="4"/>
        <v>32176</v>
      </c>
      <c r="AJ13" s="609">
        <f t="shared" si="5"/>
        <v>32176</v>
      </c>
      <c r="AL13" s="602">
        <f t="shared" si="6"/>
        <v>0</v>
      </c>
      <c r="AM13" s="610">
        <f t="shared" si="6"/>
        <v>8072</v>
      </c>
      <c r="AN13" s="611">
        <f t="shared" si="7"/>
        <v>8072</v>
      </c>
      <c r="AO13" s="612">
        <f t="shared" si="8"/>
        <v>1</v>
      </c>
    </row>
    <row r="14" spans="1:41" x14ac:dyDescent="0.2">
      <c r="A14" s="502">
        <v>99</v>
      </c>
      <c r="B14" s="503">
        <v>0.375</v>
      </c>
      <c r="C14" s="504">
        <v>2013</v>
      </c>
      <c r="D14" s="504">
        <v>3</v>
      </c>
      <c r="E14" s="504">
        <v>12</v>
      </c>
      <c r="F14" s="505">
        <v>40248</v>
      </c>
      <c r="G14" s="504">
        <v>0</v>
      </c>
      <c r="H14" s="505">
        <v>774857</v>
      </c>
      <c r="I14" s="504">
        <v>0</v>
      </c>
      <c r="J14" s="504">
        <v>0</v>
      </c>
      <c r="K14" s="504">
        <v>0</v>
      </c>
      <c r="L14" s="506">
        <v>319.66430000000003</v>
      </c>
      <c r="M14" s="505">
        <v>19.3</v>
      </c>
      <c r="N14" s="507">
        <v>0</v>
      </c>
      <c r="O14" s="508">
        <v>9721</v>
      </c>
      <c r="P14" s="493">
        <f t="shared" si="0"/>
        <v>9721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9721</v>
      </c>
      <c r="W14" s="515">
        <f t="shared" si="10"/>
        <v>343293.90707000002</v>
      </c>
      <c r="Y14" s="513">
        <f t="shared" si="11"/>
        <v>84.451788811733323</v>
      </c>
      <c r="Z14" s="510">
        <f t="shared" si="12"/>
        <v>353.58274939696503</v>
      </c>
      <c r="AA14" s="511">
        <f t="shared" si="13"/>
        <v>335.13083312269265</v>
      </c>
      <c r="AE14" s="598" t="str">
        <f t="shared" si="3"/>
        <v>40248</v>
      </c>
      <c r="AF14" s="502"/>
      <c r="AG14" s="606"/>
      <c r="AH14" s="607"/>
      <c r="AI14" s="608">
        <f t="shared" si="4"/>
        <v>40248</v>
      </c>
      <c r="AJ14" s="609">
        <f t="shared" si="5"/>
        <v>40248</v>
      </c>
      <c r="AL14" s="602">
        <f t="shared" si="6"/>
        <v>0</v>
      </c>
      <c r="AM14" s="610">
        <f t="shared" si="6"/>
        <v>9721</v>
      </c>
      <c r="AN14" s="611">
        <f t="shared" si="7"/>
        <v>9721</v>
      </c>
      <c r="AO14" s="612">
        <f t="shared" si="8"/>
        <v>1</v>
      </c>
    </row>
    <row r="15" spans="1:41" x14ac:dyDescent="0.2">
      <c r="A15" s="502">
        <v>99</v>
      </c>
      <c r="B15" s="503">
        <v>0.375</v>
      </c>
      <c r="C15" s="504">
        <v>2013</v>
      </c>
      <c r="D15" s="504">
        <v>3</v>
      </c>
      <c r="E15" s="504">
        <v>13</v>
      </c>
      <c r="F15" s="505">
        <v>49969</v>
      </c>
      <c r="G15" s="504">
        <v>0</v>
      </c>
      <c r="H15" s="505">
        <v>775288</v>
      </c>
      <c r="I15" s="504">
        <v>0</v>
      </c>
      <c r="J15" s="504">
        <v>0</v>
      </c>
      <c r="K15" s="504">
        <v>0</v>
      </c>
      <c r="L15" s="506">
        <v>315.19799999999998</v>
      </c>
      <c r="M15" s="505">
        <v>19.100000000000001</v>
      </c>
      <c r="N15" s="507">
        <v>0</v>
      </c>
      <c r="O15" s="508">
        <v>11328</v>
      </c>
      <c r="P15" s="493">
        <f t="shared" si="0"/>
        <v>11328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11328</v>
      </c>
      <c r="W15" s="515">
        <f t="shared" si="10"/>
        <v>400044.58175999997</v>
      </c>
      <c r="Y15" s="513">
        <f t="shared" si="11"/>
        <v>98.17907231225395</v>
      </c>
      <c r="Z15" s="510">
        <f t="shared" si="12"/>
        <v>411.05613995694489</v>
      </c>
      <c r="AA15" s="511">
        <f t="shared" si="13"/>
        <v>389.60494220635604</v>
      </c>
      <c r="AE15" s="598" t="str">
        <f t="shared" si="3"/>
        <v>49969</v>
      </c>
      <c r="AF15" s="502"/>
      <c r="AG15" s="606"/>
      <c r="AH15" s="607"/>
      <c r="AI15" s="608">
        <f t="shared" si="4"/>
        <v>49969</v>
      </c>
      <c r="AJ15" s="609">
        <f t="shared" si="5"/>
        <v>49969</v>
      </c>
      <c r="AL15" s="602">
        <f t="shared" si="6"/>
        <v>0</v>
      </c>
      <c r="AM15" s="610">
        <f t="shared" si="6"/>
        <v>11328</v>
      </c>
      <c r="AN15" s="611">
        <f t="shared" si="7"/>
        <v>11328</v>
      </c>
      <c r="AO15" s="612">
        <f t="shared" si="8"/>
        <v>1</v>
      </c>
    </row>
    <row r="16" spans="1:41" x14ac:dyDescent="0.2">
      <c r="A16" s="502">
        <v>99</v>
      </c>
      <c r="B16" s="503">
        <v>0.375</v>
      </c>
      <c r="C16" s="504">
        <v>2013</v>
      </c>
      <c r="D16" s="504">
        <v>3</v>
      </c>
      <c r="E16" s="504">
        <v>14</v>
      </c>
      <c r="F16" s="505">
        <v>61297</v>
      </c>
      <c r="G16" s="504">
        <v>0</v>
      </c>
      <c r="H16" s="505">
        <v>775789</v>
      </c>
      <c r="I16" s="504">
        <v>0</v>
      </c>
      <c r="J16" s="504">
        <v>0</v>
      </c>
      <c r="K16" s="504">
        <v>0</v>
      </c>
      <c r="L16" s="506">
        <v>315.59910000000002</v>
      </c>
      <c r="M16" s="505">
        <v>18.600000000000001</v>
      </c>
      <c r="N16" s="507">
        <v>0</v>
      </c>
      <c r="O16" s="508">
        <v>9284</v>
      </c>
      <c r="P16" s="493">
        <f t="shared" si="0"/>
        <v>9284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9284</v>
      </c>
      <c r="W16" s="515">
        <f t="shared" si="10"/>
        <v>327861.39627999999</v>
      </c>
      <c r="Y16" s="513">
        <f t="shared" si="11"/>
        <v>80.255489025498363</v>
      </c>
      <c r="Z16" s="510">
        <f t="shared" si="12"/>
        <v>336.01368145195653</v>
      </c>
      <c r="AA16" s="511">
        <f t="shared" si="13"/>
        <v>318.47861695082963</v>
      </c>
      <c r="AE16" s="598" t="str">
        <f t="shared" si="3"/>
        <v>61297</v>
      </c>
      <c r="AF16" s="502"/>
      <c r="AG16" s="606"/>
      <c r="AH16" s="607"/>
      <c r="AI16" s="608">
        <f t="shared" si="4"/>
        <v>61297</v>
      </c>
      <c r="AJ16" s="609">
        <f t="shared" si="5"/>
        <v>61297</v>
      </c>
      <c r="AL16" s="602">
        <f t="shared" si="6"/>
        <v>0</v>
      </c>
      <c r="AM16" s="610">
        <f t="shared" si="6"/>
        <v>9284</v>
      </c>
      <c r="AN16" s="611">
        <f t="shared" si="7"/>
        <v>9284</v>
      </c>
      <c r="AO16" s="612">
        <f t="shared" si="8"/>
        <v>1</v>
      </c>
    </row>
    <row r="17" spans="1:41" x14ac:dyDescent="0.2">
      <c r="A17" s="502">
        <v>99</v>
      </c>
      <c r="B17" s="503">
        <v>0.375</v>
      </c>
      <c r="C17" s="504">
        <v>2013</v>
      </c>
      <c r="D17" s="504">
        <v>3</v>
      </c>
      <c r="E17" s="504">
        <v>15</v>
      </c>
      <c r="F17" s="505">
        <v>70581</v>
      </c>
      <c r="G17" s="504">
        <v>0</v>
      </c>
      <c r="H17" s="505">
        <v>776197</v>
      </c>
      <c r="I17" s="504">
        <v>0</v>
      </c>
      <c r="J17" s="504">
        <v>0</v>
      </c>
      <c r="K17" s="504">
        <v>0</v>
      </c>
      <c r="L17" s="506">
        <v>316.94639999999998</v>
      </c>
      <c r="M17" s="505">
        <v>18.399999999999999</v>
      </c>
      <c r="N17" s="507">
        <v>0</v>
      </c>
      <c r="O17" s="508">
        <v>11527</v>
      </c>
      <c r="P17" s="493">
        <f t="shared" si="0"/>
        <v>11527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11527</v>
      </c>
      <c r="W17" s="515">
        <f t="shared" si="10"/>
        <v>407072.20108999999</v>
      </c>
      <c r="Y17" s="513">
        <f t="shared" si="11"/>
        <v>100.89448704354878</v>
      </c>
      <c r="Z17" s="510">
        <f t="shared" si="12"/>
        <v>422.42503835393006</v>
      </c>
      <c r="AA17" s="511">
        <f t="shared" si="13"/>
        <v>400.38054819382847</v>
      </c>
      <c r="AE17" s="598" t="str">
        <f t="shared" si="3"/>
        <v>70581</v>
      </c>
      <c r="AF17" s="502"/>
      <c r="AG17" s="606"/>
      <c r="AH17" s="607"/>
      <c r="AI17" s="608">
        <f t="shared" si="4"/>
        <v>70581</v>
      </c>
      <c r="AJ17" s="609">
        <f t="shared" si="5"/>
        <v>70581</v>
      </c>
      <c r="AL17" s="602">
        <f t="shared" si="6"/>
        <v>0</v>
      </c>
      <c r="AM17" s="610">
        <f t="shared" si="6"/>
        <v>11527</v>
      </c>
      <c r="AN17" s="611">
        <f t="shared" si="7"/>
        <v>11527</v>
      </c>
      <c r="AO17" s="612">
        <f t="shared" si="8"/>
        <v>1</v>
      </c>
    </row>
    <row r="18" spans="1:41" x14ac:dyDescent="0.2">
      <c r="A18" s="502">
        <v>99</v>
      </c>
      <c r="B18" s="503">
        <v>0.375</v>
      </c>
      <c r="C18" s="504">
        <v>2013</v>
      </c>
      <c r="D18" s="504">
        <v>3</v>
      </c>
      <c r="E18" s="504">
        <v>16</v>
      </c>
      <c r="F18" s="505">
        <v>82108</v>
      </c>
      <c r="G18" s="504">
        <v>0</v>
      </c>
      <c r="H18" s="505">
        <v>776706</v>
      </c>
      <c r="I18" s="504">
        <v>0</v>
      </c>
      <c r="J18" s="504">
        <v>0</v>
      </c>
      <c r="K18" s="504">
        <v>0</v>
      </c>
      <c r="L18" s="506">
        <v>316.10550000000001</v>
      </c>
      <c r="M18" s="505">
        <v>18.399999999999999</v>
      </c>
      <c r="N18" s="507">
        <v>0</v>
      </c>
      <c r="O18" s="508">
        <v>9178</v>
      </c>
      <c r="P18" s="493">
        <f t="shared" si="0"/>
        <v>9178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9178</v>
      </c>
      <c r="W18" s="515">
        <f t="shared" si="10"/>
        <v>324118.04125999997</v>
      </c>
      <c r="Y18" s="513">
        <f t="shared" si="11"/>
        <v>80.333963918251996</v>
      </c>
      <c r="Z18" s="510">
        <f t="shared" si="12"/>
        <v>336.34224013293743</v>
      </c>
      <c r="AA18" s="511">
        <f t="shared" si="13"/>
        <v>318.79002961073633</v>
      </c>
      <c r="AE18" s="598" t="str">
        <f t="shared" si="3"/>
        <v>82108</v>
      </c>
      <c r="AF18" s="502"/>
      <c r="AG18" s="606"/>
      <c r="AH18" s="607"/>
      <c r="AI18" s="608">
        <f t="shared" si="4"/>
        <v>82108</v>
      </c>
      <c r="AJ18" s="609">
        <f t="shared" si="5"/>
        <v>82108</v>
      </c>
      <c r="AL18" s="602">
        <f t="shared" si="6"/>
        <v>0</v>
      </c>
      <c r="AM18" s="610">
        <f t="shared" si="6"/>
        <v>9178</v>
      </c>
      <c r="AN18" s="611">
        <f t="shared" si="7"/>
        <v>9178</v>
      </c>
      <c r="AO18" s="612">
        <f t="shared" si="8"/>
        <v>1</v>
      </c>
    </row>
    <row r="19" spans="1:41" x14ac:dyDescent="0.2">
      <c r="A19" s="502">
        <v>99</v>
      </c>
      <c r="B19" s="503">
        <v>0.375</v>
      </c>
      <c r="C19" s="504">
        <v>2013</v>
      </c>
      <c r="D19" s="504">
        <v>3</v>
      </c>
      <c r="E19" s="504">
        <v>17</v>
      </c>
      <c r="F19" s="505">
        <v>91286</v>
      </c>
      <c r="G19" s="504">
        <v>0</v>
      </c>
      <c r="H19" s="505">
        <v>777098</v>
      </c>
      <c r="I19" s="504">
        <v>0</v>
      </c>
      <c r="J19" s="504">
        <v>0</v>
      </c>
      <c r="K19" s="504">
        <v>0</v>
      </c>
      <c r="L19" s="506">
        <v>325.79430000000002</v>
      </c>
      <c r="M19" s="505">
        <v>18</v>
      </c>
      <c r="N19" s="507">
        <v>0</v>
      </c>
      <c r="O19" s="508">
        <v>6606</v>
      </c>
      <c r="P19" s="493">
        <f t="shared" si="0"/>
        <v>6606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6606</v>
      </c>
      <c r="W19" s="515">
        <f t="shared" si="10"/>
        <v>233288.71002</v>
      </c>
      <c r="Y19" s="513">
        <f t="shared" si="11"/>
        <v>57.82154779298024</v>
      </c>
      <c r="Z19" s="510">
        <f t="shared" si="12"/>
        <v>242.08725629964968</v>
      </c>
      <c r="AA19" s="511">
        <f t="shared" si="13"/>
        <v>229.45379555551582</v>
      </c>
      <c r="AE19" s="598" t="str">
        <f t="shared" si="3"/>
        <v>91286</v>
      </c>
      <c r="AF19" s="502"/>
      <c r="AG19" s="606"/>
      <c r="AH19" s="607"/>
      <c r="AI19" s="608">
        <f t="shared" si="4"/>
        <v>91286</v>
      </c>
      <c r="AJ19" s="609">
        <f t="shared" si="5"/>
        <v>91286</v>
      </c>
      <c r="AL19" s="602">
        <f t="shared" si="6"/>
        <v>0</v>
      </c>
      <c r="AM19" s="610">
        <f t="shared" si="6"/>
        <v>6606</v>
      </c>
      <c r="AN19" s="611">
        <f t="shared" si="7"/>
        <v>6606</v>
      </c>
      <c r="AO19" s="612">
        <f t="shared" si="8"/>
        <v>1</v>
      </c>
    </row>
    <row r="20" spans="1:41" x14ac:dyDescent="0.2">
      <c r="A20" s="502">
        <v>99</v>
      </c>
      <c r="B20" s="503">
        <v>0.375</v>
      </c>
      <c r="C20" s="504">
        <v>2013</v>
      </c>
      <c r="D20" s="504">
        <v>3</v>
      </c>
      <c r="E20" s="504">
        <v>18</v>
      </c>
      <c r="F20" s="505">
        <v>97892</v>
      </c>
      <c r="G20" s="504">
        <v>0</v>
      </c>
      <c r="H20" s="505">
        <v>777380</v>
      </c>
      <c r="I20" s="504">
        <v>0</v>
      </c>
      <c r="J20" s="504">
        <v>0</v>
      </c>
      <c r="K20" s="504">
        <v>0</v>
      </c>
      <c r="L20" s="506">
        <v>327.02960000000002</v>
      </c>
      <c r="M20" s="505">
        <v>18.3</v>
      </c>
      <c r="N20" s="507">
        <v>0</v>
      </c>
      <c r="O20" s="508">
        <v>783</v>
      </c>
      <c r="P20" s="493">
        <f t="shared" si="0"/>
        <v>783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783</v>
      </c>
      <c r="W20" s="515">
        <f t="shared" si="10"/>
        <v>27651.386610000001</v>
      </c>
      <c r="Y20" s="513">
        <f t="shared" si="11"/>
        <v>6.8535077084322626</v>
      </c>
      <c r="Z20" s="510">
        <f t="shared" si="12"/>
        <v>28.694266073664199</v>
      </c>
      <c r="AA20" s="511">
        <f t="shared" si="13"/>
        <v>27.196839527697382</v>
      </c>
      <c r="AE20" s="598" t="str">
        <f t="shared" si="3"/>
        <v>97892</v>
      </c>
      <c r="AF20" s="502"/>
      <c r="AG20" s="606"/>
      <c r="AH20" s="607"/>
      <c r="AI20" s="608">
        <f t="shared" si="4"/>
        <v>97892</v>
      </c>
      <c r="AJ20" s="609">
        <f t="shared" si="5"/>
        <v>97892</v>
      </c>
      <c r="AL20" s="602">
        <f t="shared" si="6"/>
        <v>0</v>
      </c>
      <c r="AM20" s="610">
        <f t="shared" si="6"/>
        <v>783</v>
      </c>
      <c r="AN20" s="611">
        <f t="shared" si="7"/>
        <v>783</v>
      </c>
      <c r="AO20" s="612">
        <f t="shared" si="8"/>
        <v>1</v>
      </c>
    </row>
    <row r="21" spans="1:41" x14ac:dyDescent="0.2">
      <c r="A21" s="502">
        <v>99</v>
      </c>
      <c r="B21" s="503">
        <v>0.375</v>
      </c>
      <c r="C21" s="504">
        <v>2013</v>
      </c>
      <c r="D21" s="504">
        <v>3</v>
      </c>
      <c r="E21" s="504">
        <v>19</v>
      </c>
      <c r="F21" s="505">
        <v>98675</v>
      </c>
      <c r="G21" s="504">
        <v>0</v>
      </c>
      <c r="H21" s="505">
        <v>777413</v>
      </c>
      <c r="I21" s="504">
        <v>0</v>
      </c>
      <c r="J21" s="504">
        <v>0</v>
      </c>
      <c r="K21" s="504">
        <v>0</v>
      </c>
      <c r="L21" s="506">
        <v>326.0351</v>
      </c>
      <c r="M21" s="505">
        <v>20.8</v>
      </c>
      <c r="N21" s="507">
        <v>0</v>
      </c>
      <c r="O21" s="508">
        <v>11257</v>
      </c>
      <c r="P21" s="493">
        <f t="shared" si="0"/>
        <v>11257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11257</v>
      </c>
      <c r="W21" s="515">
        <f t="shared" si="10"/>
        <v>397537.24018999998</v>
      </c>
      <c r="Y21" s="513">
        <f t="shared" si="11"/>
        <v>98.531208523399727</v>
      </c>
      <c r="Z21" s="510">
        <f t="shared" si="12"/>
        <v>412.53046384576993</v>
      </c>
      <c r="AA21" s="511">
        <f t="shared" si="13"/>
        <v>391.00232766703624</v>
      </c>
      <c r="AE21" s="598" t="str">
        <f t="shared" si="3"/>
        <v>98675</v>
      </c>
      <c r="AF21" s="502"/>
      <c r="AG21" s="606"/>
      <c r="AH21" s="607"/>
      <c r="AI21" s="608">
        <f t="shared" si="4"/>
        <v>98675</v>
      </c>
      <c r="AJ21" s="609">
        <f t="shared" si="5"/>
        <v>98675</v>
      </c>
      <c r="AL21" s="602">
        <f t="shared" si="6"/>
        <v>185245</v>
      </c>
      <c r="AM21" s="610">
        <f t="shared" si="6"/>
        <v>11257</v>
      </c>
      <c r="AN21" s="611">
        <f t="shared" si="7"/>
        <v>-173988</v>
      </c>
      <c r="AO21" s="612">
        <f t="shared" si="8"/>
        <v>-15.455982943945989</v>
      </c>
    </row>
    <row r="22" spans="1:41" x14ac:dyDescent="0.2">
      <c r="A22" s="502">
        <v>99</v>
      </c>
      <c r="B22" s="503">
        <v>0.375</v>
      </c>
      <c r="C22" s="504">
        <v>2013</v>
      </c>
      <c r="D22" s="504">
        <v>3</v>
      </c>
      <c r="E22" s="504">
        <v>20</v>
      </c>
      <c r="F22" s="505">
        <v>109932</v>
      </c>
      <c r="G22" s="504">
        <v>0</v>
      </c>
      <c r="H22" s="505">
        <v>777908</v>
      </c>
      <c r="I22" s="504">
        <v>0</v>
      </c>
      <c r="J22" s="504">
        <v>0</v>
      </c>
      <c r="K22" s="504">
        <v>0</v>
      </c>
      <c r="L22" s="506">
        <v>318.10759999999999</v>
      </c>
      <c r="M22" s="505">
        <v>19.5</v>
      </c>
      <c r="N22" s="507">
        <v>0</v>
      </c>
      <c r="O22" s="508">
        <v>6895</v>
      </c>
      <c r="P22" s="493">
        <f t="shared" si="0"/>
        <v>6895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6895</v>
      </c>
      <c r="W22" s="515">
        <f t="shared" si="10"/>
        <v>243494.64965000001</v>
      </c>
      <c r="Y22" s="513">
        <f t="shared" si="11"/>
        <v>60.351131097880526</v>
      </c>
      <c r="Z22" s="510">
        <f t="shared" si="12"/>
        <v>252.6781156806062</v>
      </c>
      <c r="AA22" s="511">
        <f t="shared" si="13"/>
        <v>239.49196493419339</v>
      </c>
      <c r="AE22" s="598" t="str">
        <f t="shared" si="3"/>
        <v>109932</v>
      </c>
      <c r="AF22" s="502">
        <v>99</v>
      </c>
      <c r="AG22" s="606">
        <v>1</v>
      </c>
      <c r="AH22" s="607">
        <v>185245</v>
      </c>
      <c r="AI22" s="608">
        <f t="shared" si="4"/>
        <v>109932</v>
      </c>
      <c r="AJ22" s="609">
        <f t="shared" si="5"/>
        <v>-75313</v>
      </c>
      <c r="AL22" s="602">
        <f t="shared" si="6"/>
        <v>-185245</v>
      </c>
      <c r="AM22" s="610">
        <f t="shared" si="6"/>
        <v>6895</v>
      </c>
      <c r="AN22" s="611">
        <f t="shared" si="7"/>
        <v>192140</v>
      </c>
      <c r="AO22" s="612">
        <f t="shared" si="8"/>
        <v>27.866569978245106</v>
      </c>
    </row>
    <row r="23" spans="1:41" x14ac:dyDescent="0.2">
      <c r="A23" s="502">
        <v>99</v>
      </c>
      <c r="B23" s="503">
        <v>0.375</v>
      </c>
      <c r="C23" s="504">
        <v>2013</v>
      </c>
      <c r="D23" s="504">
        <v>3</v>
      </c>
      <c r="E23" s="504">
        <v>21</v>
      </c>
      <c r="F23" s="505">
        <v>116827</v>
      </c>
      <c r="G23" s="504">
        <v>0</v>
      </c>
      <c r="H23" s="505">
        <v>778211</v>
      </c>
      <c r="I23" s="504">
        <v>0</v>
      </c>
      <c r="J23" s="504">
        <v>0</v>
      </c>
      <c r="K23" s="504">
        <v>0</v>
      </c>
      <c r="L23" s="506">
        <v>317.62939999999998</v>
      </c>
      <c r="M23" s="505">
        <v>19.600000000000001</v>
      </c>
      <c r="N23" s="507">
        <v>0</v>
      </c>
      <c r="O23" s="508">
        <v>10222</v>
      </c>
      <c r="P23" s="493">
        <f t="shared" si="0"/>
        <v>10222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10222</v>
      </c>
      <c r="W23" s="515">
        <f t="shared" si="10"/>
        <v>360986.55673999997</v>
      </c>
      <c r="Y23" s="513">
        <f t="shared" si="11"/>
        <v>89.471974196161668</v>
      </c>
      <c r="Z23" s="510">
        <f t="shared" si="12"/>
        <v>374.60126156448973</v>
      </c>
      <c r="AA23" s="511">
        <f t="shared" si="13"/>
        <v>355.05248231433279</v>
      </c>
      <c r="AE23" s="598" t="str">
        <f t="shared" si="3"/>
        <v>116827</v>
      </c>
      <c r="AF23" s="502"/>
      <c r="AG23" s="606"/>
      <c r="AH23" s="607"/>
      <c r="AI23" s="608">
        <f t="shared" si="4"/>
        <v>116827</v>
      </c>
      <c r="AJ23" s="609">
        <f t="shared" si="5"/>
        <v>116827</v>
      </c>
      <c r="AL23" s="602">
        <f t="shared" si="6"/>
        <v>0</v>
      </c>
      <c r="AM23" s="610">
        <f t="shared" si="6"/>
        <v>10222</v>
      </c>
      <c r="AN23" s="611">
        <f t="shared" si="7"/>
        <v>10222</v>
      </c>
      <c r="AO23" s="612">
        <f t="shared" si="8"/>
        <v>1</v>
      </c>
    </row>
    <row r="24" spans="1:41" x14ac:dyDescent="0.2">
      <c r="A24" s="502">
        <v>99</v>
      </c>
      <c r="B24" s="503">
        <v>0.375</v>
      </c>
      <c r="C24" s="504">
        <v>2013</v>
      </c>
      <c r="D24" s="504">
        <v>3</v>
      </c>
      <c r="E24" s="504">
        <v>22</v>
      </c>
      <c r="F24" s="505">
        <v>127049</v>
      </c>
      <c r="G24" s="504">
        <v>0</v>
      </c>
      <c r="H24" s="505">
        <v>778663</v>
      </c>
      <c r="I24" s="504">
        <v>0</v>
      </c>
      <c r="J24" s="504">
        <v>0</v>
      </c>
      <c r="K24" s="504">
        <v>0</v>
      </c>
      <c r="L24" s="506">
        <v>316.40899999999999</v>
      </c>
      <c r="M24" s="505">
        <v>19.5</v>
      </c>
      <c r="N24" s="507">
        <v>0</v>
      </c>
      <c r="O24" s="508">
        <v>9577</v>
      </c>
      <c r="P24" s="493">
        <f t="shared" si="0"/>
        <v>9577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9577</v>
      </c>
      <c r="W24" s="515">
        <f t="shared" si="10"/>
        <v>338208.59458999999</v>
      </c>
      <c r="Y24" s="513">
        <f t="shared" si="11"/>
        <v>83.82636439802782</v>
      </c>
      <c r="Z24" s="510">
        <f t="shared" si="12"/>
        <v>350.96422246166287</v>
      </c>
      <c r="AA24" s="511">
        <f t="shared" si="13"/>
        <v>332.64895550032924</v>
      </c>
      <c r="AE24" s="598" t="str">
        <f t="shared" si="3"/>
        <v>127049</v>
      </c>
      <c r="AF24" s="502"/>
      <c r="AG24" s="606"/>
      <c r="AH24" s="607"/>
      <c r="AI24" s="608">
        <f t="shared" si="4"/>
        <v>127049</v>
      </c>
      <c r="AJ24" s="609">
        <f t="shared" si="5"/>
        <v>127049</v>
      </c>
      <c r="AL24" s="602">
        <f t="shared" si="6"/>
        <v>136622</v>
      </c>
      <c r="AM24" s="610">
        <f t="shared" si="6"/>
        <v>9577</v>
      </c>
      <c r="AN24" s="611">
        <f t="shared" si="7"/>
        <v>-127045</v>
      </c>
      <c r="AO24" s="612">
        <f t="shared" si="8"/>
        <v>-13.265636420590999</v>
      </c>
    </row>
    <row r="25" spans="1:41" x14ac:dyDescent="0.2">
      <c r="A25" s="502">
        <v>99</v>
      </c>
      <c r="B25" s="503">
        <v>0.375</v>
      </c>
      <c r="C25" s="504">
        <v>2013</v>
      </c>
      <c r="D25" s="504">
        <v>3</v>
      </c>
      <c r="E25" s="504">
        <v>23</v>
      </c>
      <c r="F25" s="505">
        <v>136626</v>
      </c>
      <c r="G25" s="504">
        <v>0</v>
      </c>
      <c r="H25" s="505">
        <v>779086</v>
      </c>
      <c r="I25" s="504">
        <v>0</v>
      </c>
      <c r="J25" s="504">
        <v>0</v>
      </c>
      <c r="K25" s="504">
        <v>0</v>
      </c>
      <c r="L25" s="506">
        <v>317.45420000000001</v>
      </c>
      <c r="M25" s="505">
        <v>19.600000000000001</v>
      </c>
      <c r="N25" s="507">
        <v>0</v>
      </c>
      <c r="O25" s="508">
        <v>9383</v>
      </c>
      <c r="P25" s="493">
        <f t="shared" si="0"/>
        <v>9383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9383</v>
      </c>
      <c r="W25" s="515">
        <f t="shared" si="10"/>
        <v>331357.54861</v>
      </c>
      <c r="Y25" s="513">
        <f t="shared" si="11"/>
        <v>82.128305016883687</v>
      </c>
      <c r="Z25" s="510">
        <f t="shared" si="12"/>
        <v>343.85478744468861</v>
      </c>
      <c r="AA25" s="511">
        <f t="shared" si="13"/>
        <v>325.91053038107856</v>
      </c>
      <c r="AE25" s="598" t="str">
        <f t="shared" si="3"/>
        <v>136626</v>
      </c>
      <c r="AF25" s="502">
        <v>99</v>
      </c>
      <c r="AG25" s="606">
        <v>23</v>
      </c>
      <c r="AH25" s="607">
        <v>136622</v>
      </c>
      <c r="AI25" s="608">
        <f t="shared" si="4"/>
        <v>136626</v>
      </c>
      <c r="AJ25" s="609">
        <f t="shared" si="5"/>
        <v>4</v>
      </c>
      <c r="AL25" s="602">
        <f t="shared" si="6"/>
        <v>9384</v>
      </c>
      <c r="AM25" s="610">
        <f t="shared" si="6"/>
        <v>9383</v>
      </c>
      <c r="AN25" s="611">
        <f t="shared" si="7"/>
        <v>-1</v>
      </c>
      <c r="AO25" s="612">
        <f t="shared" si="8"/>
        <v>-1.0657572205051689E-4</v>
      </c>
    </row>
    <row r="26" spans="1:41" x14ac:dyDescent="0.2">
      <c r="A26" s="502">
        <v>99</v>
      </c>
      <c r="B26" s="503">
        <v>0.375</v>
      </c>
      <c r="C26" s="504">
        <v>2013</v>
      </c>
      <c r="D26" s="504">
        <v>3</v>
      </c>
      <c r="E26" s="504">
        <v>24</v>
      </c>
      <c r="F26" s="505">
        <v>146009</v>
      </c>
      <c r="G26" s="504">
        <v>0</v>
      </c>
      <c r="H26" s="505">
        <v>779495</v>
      </c>
      <c r="I26" s="504">
        <v>0</v>
      </c>
      <c r="J26" s="504">
        <v>0</v>
      </c>
      <c r="K26" s="504">
        <v>0</v>
      </c>
      <c r="L26" s="506">
        <v>322.5292</v>
      </c>
      <c r="M26" s="505">
        <v>19.5</v>
      </c>
      <c r="N26" s="507">
        <v>0</v>
      </c>
      <c r="O26" s="508">
        <v>8332</v>
      </c>
      <c r="P26" s="493">
        <f t="shared" si="0"/>
        <v>8332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8332</v>
      </c>
      <c r="W26" s="515">
        <f t="shared" si="10"/>
        <v>294241.83043999999</v>
      </c>
      <c r="Y26" s="513">
        <f t="shared" si="11"/>
        <v>72.929024555118275</v>
      </c>
      <c r="Z26" s="510">
        <f t="shared" si="12"/>
        <v>305.3392400073692</v>
      </c>
      <c r="AA26" s="511">
        <f t="shared" si="13"/>
        <v>289.40493862678744</v>
      </c>
      <c r="AE26" s="598" t="str">
        <f t="shared" si="3"/>
        <v>146009</v>
      </c>
      <c r="AF26" s="502">
        <v>99</v>
      </c>
      <c r="AG26" s="606">
        <v>24</v>
      </c>
      <c r="AH26" s="607">
        <v>146006</v>
      </c>
      <c r="AI26" s="608">
        <f t="shared" si="4"/>
        <v>146009</v>
      </c>
      <c r="AJ26" s="609">
        <f t="shared" si="5"/>
        <v>3</v>
      </c>
      <c r="AL26" s="602">
        <f t="shared" si="6"/>
        <v>8326</v>
      </c>
      <c r="AM26" s="610">
        <f t="shared" si="6"/>
        <v>8332</v>
      </c>
      <c r="AN26" s="611">
        <f t="shared" si="7"/>
        <v>6</v>
      </c>
      <c r="AO26" s="612">
        <f t="shared" si="8"/>
        <v>7.2011521843494961E-4</v>
      </c>
    </row>
    <row r="27" spans="1:41" x14ac:dyDescent="0.2">
      <c r="A27" s="502">
        <v>99</v>
      </c>
      <c r="B27" s="503">
        <v>0.375</v>
      </c>
      <c r="C27" s="504">
        <v>2013</v>
      </c>
      <c r="D27" s="504">
        <v>3</v>
      </c>
      <c r="E27" s="504">
        <v>25</v>
      </c>
      <c r="F27" s="505">
        <v>154341</v>
      </c>
      <c r="G27" s="504">
        <v>0</v>
      </c>
      <c r="H27" s="505">
        <v>779856</v>
      </c>
      <c r="I27" s="504">
        <v>0</v>
      </c>
      <c r="J27" s="504">
        <v>0</v>
      </c>
      <c r="K27" s="504">
        <v>0</v>
      </c>
      <c r="L27" s="506">
        <v>323.3168</v>
      </c>
      <c r="M27" s="505">
        <v>19.399999999999999</v>
      </c>
      <c r="N27" s="507">
        <v>0</v>
      </c>
      <c r="O27" s="508">
        <v>11011</v>
      </c>
      <c r="P27" s="493">
        <f t="shared" si="0"/>
        <v>11011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11011</v>
      </c>
      <c r="W27" s="515">
        <f t="shared" si="10"/>
        <v>388849.83136999997</v>
      </c>
      <c r="Y27" s="513">
        <f t="shared" si="11"/>
        <v>96.377999205041689</v>
      </c>
      <c r="Z27" s="510">
        <f t="shared" si="12"/>
        <v>403.51540707166856</v>
      </c>
      <c r="AA27" s="511">
        <f t="shared" si="13"/>
        <v>382.4577267426256</v>
      </c>
      <c r="AE27" s="598" t="str">
        <f t="shared" si="3"/>
        <v>154341</v>
      </c>
      <c r="AF27" s="502">
        <v>99</v>
      </c>
      <c r="AG27" s="606">
        <v>25</v>
      </c>
      <c r="AH27" s="607">
        <v>154332</v>
      </c>
      <c r="AI27" s="608">
        <f t="shared" si="4"/>
        <v>154341</v>
      </c>
      <c r="AJ27" s="609">
        <f t="shared" si="5"/>
        <v>9</v>
      </c>
      <c r="AL27" s="602">
        <f t="shared" si="6"/>
        <v>11014</v>
      </c>
      <c r="AM27" s="610">
        <f t="shared" si="6"/>
        <v>11011</v>
      </c>
      <c r="AN27" s="611">
        <f t="shared" si="7"/>
        <v>-3</v>
      </c>
      <c r="AO27" s="612">
        <f t="shared" si="8"/>
        <v>-2.7245481790936338E-4</v>
      </c>
    </row>
    <row r="28" spans="1:41" x14ac:dyDescent="0.2">
      <c r="A28" s="502">
        <v>99</v>
      </c>
      <c r="B28" s="503">
        <v>0.375</v>
      </c>
      <c r="C28" s="504">
        <v>2013</v>
      </c>
      <c r="D28" s="504">
        <v>3</v>
      </c>
      <c r="E28" s="504">
        <v>26</v>
      </c>
      <c r="F28" s="505">
        <v>165352</v>
      </c>
      <c r="G28" s="504">
        <v>0</v>
      </c>
      <c r="H28" s="505">
        <v>780342</v>
      </c>
      <c r="I28" s="504">
        <v>0</v>
      </c>
      <c r="J28" s="504">
        <v>0</v>
      </c>
      <c r="K28" s="504">
        <v>0</v>
      </c>
      <c r="L28" s="506">
        <v>316.63159999999999</v>
      </c>
      <c r="M28" s="505">
        <v>19.3</v>
      </c>
      <c r="N28" s="507">
        <v>0</v>
      </c>
      <c r="O28" s="508">
        <v>12321</v>
      </c>
      <c r="P28" s="493">
        <f t="shared" si="0"/>
        <v>12321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12321</v>
      </c>
      <c r="W28" s="515">
        <f t="shared" si="10"/>
        <v>435112.04907000001</v>
      </c>
      <c r="Y28" s="513">
        <f t="shared" si="11"/>
        <v>107.8442764694686</v>
      </c>
      <c r="Z28" s="510">
        <f t="shared" si="12"/>
        <v>451.52241672237108</v>
      </c>
      <c r="AA28" s="511">
        <f t="shared" si="13"/>
        <v>427.95946337261734</v>
      </c>
      <c r="AE28" s="598" t="str">
        <f t="shared" si="3"/>
        <v>165352</v>
      </c>
      <c r="AF28" s="502">
        <v>99</v>
      </c>
      <c r="AG28" s="606">
        <v>26</v>
      </c>
      <c r="AH28" s="607">
        <v>165346</v>
      </c>
      <c r="AI28" s="608">
        <f t="shared" si="4"/>
        <v>165352</v>
      </c>
      <c r="AJ28" s="609">
        <f t="shared" si="5"/>
        <v>6</v>
      </c>
      <c r="AL28" s="602">
        <f t="shared" si="6"/>
        <v>12321</v>
      </c>
      <c r="AM28" s="610">
        <f t="shared" si="6"/>
        <v>12321</v>
      </c>
      <c r="AN28" s="611">
        <f t="shared" si="7"/>
        <v>0</v>
      </c>
      <c r="AO28" s="612">
        <f t="shared" si="8"/>
        <v>0</v>
      </c>
    </row>
    <row r="29" spans="1:41" x14ac:dyDescent="0.2">
      <c r="A29" s="502">
        <v>99</v>
      </c>
      <c r="B29" s="503">
        <v>0.375</v>
      </c>
      <c r="C29" s="504">
        <v>2013</v>
      </c>
      <c r="D29" s="504">
        <v>3</v>
      </c>
      <c r="E29" s="504">
        <v>27</v>
      </c>
      <c r="F29" s="505">
        <v>177673</v>
      </c>
      <c r="G29" s="504">
        <v>0</v>
      </c>
      <c r="H29" s="505">
        <v>780886</v>
      </c>
      <c r="I29" s="504">
        <v>0</v>
      </c>
      <c r="J29" s="504">
        <v>0</v>
      </c>
      <c r="K29" s="504">
        <v>0</v>
      </c>
      <c r="L29" s="506">
        <v>316.60509999999999</v>
      </c>
      <c r="M29" s="505">
        <v>18.899999999999999</v>
      </c>
      <c r="N29" s="507">
        <v>0</v>
      </c>
      <c r="O29" s="508">
        <v>4254</v>
      </c>
      <c r="P29" s="493">
        <f t="shared" si="0"/>
        <v>4254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4254</v>
      </c>
      <c r="W29" s="515">
        <f t="shared" si="10"/>
        <v>150228.60618</v>
      </c>
      <c r="Y29" s="513">
        <f t="shared" si="11"/>
        <v>37.23476601745957</v>
      </c>
      <c r="Z29" s="510">
        <f t="shared" si="12"/>
        <v>155.89451836189974</v>
      </c>
      <c r="AA29" s="511">
        <f t="shared" si="13"/>
        <v>147.75907452212599</v>
      </c>
      <c r="AE29" s="598" t="str">
        <f t="shared" si="3"/>
        <v>177673</v>
      </c>
      <c r="AF29" s="502">
        <v>99</v>
      </c>
      <c r="AG29" s="606">
        <v>27</v>
      </c>
      <c r="AH29" s="607">
        <v>177667</v>
      </c>
      <c r="AI29" s="608">
        <f t="shared" si="4"/>
        <v>177673</v>
      </c>
      <c r="AJ29" s="609">
        <f t="shared" si="5"/>
        <v>6</v>
      </c>
      <c r="AL29" s="602">
        <f t="shared" si="6"/>
        <v>4260</v>
      </c>
      <c r="AM29" s="610">
        <f t="shared" si="6"/>
        <v>4254</v>
      </c>
      <c r="AN29" s="611">
        <f t="shared" si="7"/>
        <v>-6</v>
      </c>
      <c r="AO29" s="612">
        <f t="shared" si="8"/>
        <v>-1.4104372355430183E-3</v>
      </c>
    </row>
    <row r="30" spans="1:41" x14ac:dyDescent="0.2">
      <c r="A30" s="502">
        <v>99</v>
      </c>
      <c r="B30" s="503">
        <v>0.375</v>
      </c>
      <c r="C30" s="504">
        <v>2013</v>
      </c>
      <c r="D30" s="504">
        <v>3</v>
      </c>
      <c r="E30" s="504">
        <v>28</v>
      </c>
      <c r="F30" s="505">
        <v>181927</v>
      </c>
      <c r="G30" s="504">
        <v>0</v>
      </c>
      <c r="H30" s="505">
        <v>781074</v>
      </c>
      <c r="I30" s="504">
        <v>0</v>
      </c>
      <c r="J30" s="504">
        <v>0</v>
      </c>
      <c r="K30" s="504">
        <v>0</v>
      </c>
      <c r="L30" s="506">
        <v>321.0564</v>
      </c>
      <c r="M30" s="505">
        <v>16.399999999999999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181927</v>
      </c>
      <c r="AF30" s="502">
        <v>99</v>
      </c>
      <c r="AG30" s="606">
        <v>28</v>
      </c>
      <c r="AH30" s="607">
        <v>181927</v>
      </c>
      <c r="AI30" s="608">
        <f t="shared" si="4"/>
        <v>181927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99</v>
      </c>
      <c r="B31" s="503">
        <v>0.375</v>
      </c>
      <c r="C31" s="504">
        <v>2013</v>
      </c>
      <c r="D31" s="504">
        <v>3</v>
      </c>
      <c r="E31" s="504">
        <v>29</v>
      </c>
      <c r="F31" s="505">
        <v>181927</v>
      </c>
      <c r="G31" s="504">
        <v>0</v>
      </c>
      <c r="H31" s="505">
        <v>781074</v>
      </c>
      <c r="I31" s="504">
        <v>0</v>
      </c>
      <c r="J31" s="504">
        <v>0</v>
      </c>
      <c r="K31" s="504">
        <v>0</v>
      </c>
      <c r="L31" s="506">
        <v>325.5498</v>
      </c>
      <c r="M31" s="505">
        <v>18.3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181927</v>
      </c>
      <c r="AF31" s="502">
        <v>99</v>
      </c>
      <c r="AG31" s="606">
        <v>29</v>
      </c>
      <c r="AH31" s="607">
        <v>181927</v>
      </c>
      <c r="AI31" s="608">
        <f t="shared" si="4"/>
        <v>181927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99</v>
      </c>
      <c r="B32" s="503">
        <v>0.375</v>
      </c>
      <c r="C32" s="504">
        <v>2013</v>
      </c>
      <c r="D32" s="504">
        <v>3</v>
      </c>
      <c r="E32" s="504">
        <v>30</v>
      </c>
      <c r="F32" s="505">
        <v>181927</v>
      </c>
      <c r="G32" s="504">
        <v>0</v>
      </c>
      <c r="H32" s="505">
        <v>781074</v>
      </c>
      <c r="I32" s="504">
        <v>0</v>
      </c>
      <c r="J32" s="504">
        <v>0</v>
      </c>
      <c r="K32" s="504">
        <v>0</v>
      </c>
      <c r="L32" s="506">
        <v>325.38060000000002</v>
      </c>
      <c r="M32" s="505">
        <v>20.399999999999999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181927</v>
      </c>
      <c r="AF32" s="502">
        <v>99</v>
      </c>
      <c r="AG32" s="606">
        <v>30</v>
      </c>
      <c r="AH32" s="607">
        <v>181927</v>
      </c>
      <c r="AI32" s="608">
        <f t="shared" si="4"/>
        <v>181927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99</v>
      </c>
      <c r="B33" s="503">
        <v>0.375</v>
      </c>
      <c r="C33" s="504">
        <v>2013</v>
      </c>
      <c r="D33" s="504">
        <v>3</v>
      </c>
      <c r="E33" s="504">
        <v>31</v>
      </c>
      <c r="F33" s="505">
        <v>181927</v>
      </c>
      <c r="G33" s="504">
        <v>0</v>
      </c>
      <c r="H33" s="505">
        <v>781074</v>
      </c>
      <c r="I33" s="504">
        <v>0</v>
      </c>
      <c r="J33" s="504">
        <v>0</v>
      </c>
      <c r="K33" s="504">
        <v>0</v>
      </c>
      <c r="L33" s="506">
        <v>325.28179999999998</v>
      </c>
      <c r="M33" s="505">
        <v>20.9</v>
      </c>
      <c r="N33" s="507">
        <v>0</v>
      </c>
      <c r="O33" s="508">
        <v>3326</v>
      </c>
      <c r="P33" s="493">
        <f t="shared" si="0"/>
        <v>3326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3326</v>
      </c>
      <c r="W33" s="519">
        <f t="shared" si="10"/>
        <v>117456.59242</v>
      </c>
      <c r="Y33" s="513">
        <f t="shared" si="11"/>
        <v>29.112090214873188</v>
      </c>
      <c r="Z33" s="510">
        <f t="shared" si="12"/>
        <v>121.88649931163107</v>
      </c>
      <c r="AA33" s="511">
        <f t="shared" si="13"/>
        <v>115.5257832300402</v>
      </c>
      <c r="AE33" s="598" t="str">
        <f t="shared" si="3"/>
        <v>181927</v>
      </c>
      <c r="AF33" s="502">
        <v>99</v>
      </c>
      <c r="AG33" s="606">
        <v>31</v>
      </c>
      <c r="AH33" s="607">
        <v>181927</v>
      </c>
      <c r="AI33" s="608">
        <f t="shared" si="4"/>
        <v>181927</v>
      </c>
      <c r="AJ33" s="609">
        <f t="shared" si="5"/>
        <v>0</v>
      </c>
      <c r="AL33" s="602">
        <f t="shared" si="6"/>
        <v>-181927</v>
      </c>
      <c r="AM33" s="613">
        <f t="shared" si="6"/>
        <v>3326</v>
      </c>
      <c r="AN33" s="611">
        <f t="shared" si="7"/>
        <v>185253</v>
      </c>
      <c r="AO33" s="612">
        <f t="shared" si="8"/>
        <v>55.698436560432953</v>
      </c>
    </row>
    <row r="34" spans="1:41" ht="13.5" thickBot="1" x14ac:dyDescent="0.25">
      <c r="A34" s="148">
        <v>99</v>
      </c>
      <c r="B34" s="520">
        <v>0.375</v>
      </c>
      <c r="C34" s="146">
        <v>2013</v>
      </c>
      <c r="D34" s="146">
        <v>4</v>
      </c>
      <c r="E34" s="146">
        <v>1</v>
      </c>
      <c r="F34" s="521">
        <v>185253</v>
      </c>
      <c r="G34" s="146">
        <v>0</v>
      </c>
      <c r="H34" s="521">
        <v>781217</v>
      </c>
      <c r="I34" s="146">
        <v>0</v>
      </c>
      <c r="J34" s="146">
        <v>0</v>
      </c>
      <c r="K34" s="146">
        <v>0</v>
      </c>
      <c r="L34" s="522">
        <v>323.87169999999998</v>
      </c>
      <c r="M34" s="521">
        <v>21.9</v>
      </c>
      <c r="N34" s="523">
        <v>0</v>
      </c>
      <c r="O34" s="524">
        <v>10303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185253</v>
      </c>
      <c r="AF34" s="148"/>
      <c r="AG34" s="614"/>
      <c r="AH34" s="615"/>
      <c r="AI34" s="616">
        <f t="shared" si="4"/>
        <v>185253</v>
      </c>
      <c r="AJ34" s="617">
        <f t="shared" si="5"/>
        <v>185253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327.02960000000002</v>
      </c>
      <c r="M36" s="535">
        <f>MAX(M3:M34)</f>
        <v>21.9</v>
      </c>
      <c r="N36" s="533" t="s">
        <v>68</v>
      </c>
      <c r="O36" s="535">
        <f>SUM(O3:O33)</f>
        <v>240977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240977</v>
      </c>
      <c r="W36" s="539">
        <f>SUM(W3:W33)</f>
        <v>8510023.2325899992</v>
      </c>
      <c r="Y36" s="540">
        <f>SUM(Y3:Y33)</f>
        <v>2098.0493094768799</v>
      </c>
      <c r="Z36" s="541">
        <f>SUM(Z3:Z33)</f>
        <v>8784.1128489178009</v>
      </c>
      <c r="AA36" s="542">
        <f>SUM(AA3:AA33)</f>
        <v>8325.7089389181601</v>
      </c>
      <c r="AF36" s="621" t="s">
        <v>208</v>
      </c>
      <c r="AG36" s="534">
        <f>COUNT(AG3:AG34)</f>
        <v>11</v>
      </c>
      <c r="AJ36" s="622">
        <f>SUM(AJ3:AJ33)</f>
        <v>2849737</v>
      </c>
      <c r="AK36" s="623" t="s">
        <v>176</v>
      </c>
      <c r="AL36" s="624"/>
      <c r="AM36" s="624"/>
      <c r="AN36" s="622">
        <f>SUM(AN3:AN33)</f>
        <v>185251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320.23204375000006</v>
      </c>
      <c r="M37" s="543">
        <f>AVERAGE(M3:M34)</f>
        <v>19.006562499999998</v>
      </c>
      <c r="N37" s="533" t="s">
        <v>172</v>
      </c>
      <c r="O37" s="544">
        <f>O36*35.31467</f>
        <v>8510023.2325899992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21</v>
      </c>
      <c r="AN37" s="627">
        <f>IFERROR(AN36/SUM(AM3:AM33),"")</f>
        <v>-1.6195959119084464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311.15010000000001</v>
      </c>
      <c r="M38" s="544">
        <f>MIN(M3:M34)</f>
        <v>16.399999999999999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352.25524812500009</v>
      </c>
      <c r="M44" s="551">
        <f>M37*(1+$L$43)</f>
        <v>20.907218749999998</v>
      </c>
    </row>
    <row r="45" spans="1:41" x14ac:dyDescent="0.2">
      <c r="K45" s="550" t="s">
        <v>186</v>
      </c>
      <c r="L45" s="551">
        <f>L37*(1-$L$43)</f>
        <v>288.20883937500008</v>
      </c>
      <c r="M45" s="551">
        <f>M37*(1-$L$43)</f>
        <v>17.105906249999997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295" priority="47" stopIfTrue="1" operator="lessThan">
      <formula>$L$45</formula>
    </cfRule>
    <cfRule type="cellIs" dxfId="1294" priority="48" stopIfTrue="1" operator="greaterThan">
      <formula>$L$44</formula>
    </cfRule>
  </conditionalFormatting>
  <conditionalFormatting sqref="M3:M34">
    <cfRule type="cellIs" dxfId="1293" priority="45" stopIfTrue="1" operator="lessThan">
      <formula>$M$45</formula>
    </cfRule>
    <cfRule type="cellIs" dxfId="1292" priority="46" stopIfTrue="1" operator="greaterThan">
      <formula>$M$44</formula>
    </cfRule>
  </conditionalFormatting>
  <conditionalFormatting sqref="O3:O34">
    <cfRule type="cellIs" dxfId="1291" priority="44" stopIfTrue="1" operator="lessThan">
      <formula>0</formula>
    </cfRule>
  </conditionalFormatting>
  <conditionalFormatting sqref="O3:O33">
    <cfRule type="cellIs" dxfId="1290" priority="43" stopIfTrue="1" operator="lessThan">
      <formula>0</formula>
    </cfRule>
  </conditionalFormatting>
  <conditionalFormatting sqref="O3">
    <cfRule type="cellIs" dxfId="1289" priority="42" stopIfTrue="1" operator="notEqual">
      <formula>$P$3</formula>
    </cfRule>
  </conditionalFormatting>
  <conditionalFormatting sqref="O4">
    <cfRule type="cellIs" dxfId="1288" priority="41" stopIfTrue="1" operator="notEqual">
      <formula>P$4</formula>
    </cfRule>
  </conditionalFormatting>
  <conditionalFormatting sqref="O5">
    <cfRule type="cellIs" dxfId="1287" priority="40" stopIfTrue="1" operator="notEqual">
      <formula>$P$5</formula>
    </cfRule>
  </conditionalFormatting>
  <conditionalFormatting sqref="O6">
    <cfRule type="cellIs" dxfId="1286" priority="39" stopIfTrue="1" operator="notEqual">
      <formula>$P$6</formula>
    </cfRule>
  </conditionalFormatting>
  <conditionalFormatting sqref="O7">
    <cfRule type="cellIs" dxfId="1285" priority="38" stopIfTrue="1" operator="notEqual">
      <formula>$P$7</formula>
    </cfRule>
  </conditionalFormatting>
  <conditionalFormatting sqref="O8">
    <cfRule type="cellIs" dxfId="1284" priority="37" stopIfTrue="1" operator="notEqual">
      <formula>$P$8</formula>
    </cfRule>
  </conditionalFormatting>
  <conditionalFormatting sqref="O9">
    <cfRule type="cellIs" dxfId="1283" priority="36" stopIfTrue="1" operator="notEqual">
      <formula>$P$9</formula>
    </cfRule>
  </conditionalFormatting>
  <conditionalFormatting sqref="O10">
    <cfRule type="cellIs" dxfId="1282" priority="34" stopIfTrue="1" operator="notEqual">
      <formula>$P$10</formula>
    </cfRule>
    <cfRule type="cellIs" dxfId="1281" priority="35" stopIfTrue="1" operator="greaterThan">
      <formula>$P$10</formula>
    </cfRule>
  </conditionalFormatting>
  <conditionalFormatting sqref="O11">
    <cfRule type="cellIs" dxfId="1280" priority="32" stopIfTrue="1" operator="notEqual">
      <formula>$P$11</formula>
    </cfRule>
    <cfRule type="cellIs" dxfId="1279" priority="33" stopIfTrue="1" operator="greaterThan">
      <formula>$P$11</formula>
    </cfRule>
  </conditionalFormatting>
  <conditionalFormatting sqref="O12">
    <cfRule type="cellIs" dxfId="1278" priority="31" stopIfTrue="1" operator="notEqual">
      <formula>$P$12</formula>
    </cfRule>
  </conditionalFormatting>
  <conditionalFormatting sqref="O14">
    <cfRule type="cellIs" dxfId="1277" priority="30" stopIfTrue="1" operator="notEqual">
      <formula>$P$14</formula>
    </cfRule>
  </conditionalFormatting>
  <conditionalFormatting sqref="O15">
    <cfRule type="cellIs" dxfId="1276" priority="29" stopIfTrue="1" operator="notEqual">
      <formula>$P$15</formula>
    </cfRule>
  </conditionalFormatting>
  <conditionalFormatting sqref="O16">
    <cfRule type="cellIs" dxfId="1275" priority="28" stopIfTrue="1" operator="notEqual">
      <formula>$P$16</formula>
    </cfRule>
  </conditionalFormatting>
  <conditionalFormatting sqref="O17">
    <cfRule type="cellIs" dxfId="1274" priority="27" stopIfTrue="1" operator="notEqual">
      <formula>$P$17</formula>
    </cfRule>
  </conditionalFormatting>
  <conditionalFormatting sqref="O18">
    <cfRule type="cellIs" dxfId="1273" priority="26" stopIfTrue="1" operator="notEqual">
      <formula>$P$18</formula>
    </cfRule>
  </conditionalFormatting>
  <conditionalFormatting sqref="O19">
    <cfRule type="cellIs" dxfId="1272" priority="24" stopIfTrue="1" operator="notEqual">
      <formula>$P$19</formula>
    </cfRule>
    <cfRule type="cellIs" dxfId="1271" priority="25" stopIfTrue="1" operator="greaterThan">
      <formula>$P$19</formula>
    </cfRule>
  </conditionalFormatting>
  <conditionalFormatting sqref="O20">
    <cfRule type="cellIs" dxfId="1270" priority="22" stopIfTrue="1" operator="notEqual">
      <formula>$P$20</formula>
    </cfRule>
    <cfRule type="cellIs" dxfId="1269" priority="23" stopIfTrue="1" operator="greaterThan">
      <formula>$P$20</formula>
    </cfRule>
  </conditionalFormatting>
  <conditionalFormatting sqref="O21">
    <cfRule type="cellIs" dxfId="1268" priority="21" stopIfTrue="1" operator="notEqual">
      <formula>$P$21</formula>
    </cfRule>
  </conditionalFormatting>
  <conditionalFormatting sqref="O22">
    <cfRule type="cellIs" dxfId="1267" priority="20" stopIfTrue="1" operator="notEqual">
      <formula>$P$22</formula>
    </cfRule>
  </conditionalFormatting>
  <conditionalFormatting sqref="O23">
    <cfRule type="cellIs" dxfId="1266" priority="19" stopIfTrue="1" operator="notEqual">
      <formula>$P$23</formula>
    </cfRule>
  </conditionalFormatting>
  <conditionalFormatting sqref="O24">
    <cfRule type="cellIs" dxfId="1265" priority="17" stopIfTrue="1" operator="notEqual">
      <formula>$P$24</formula>
    </cfRule>
    <cfRule type="cellIs" dxfId="1264" priority="18" stopIfTrue="1" operator="greaterThan">
      <formula>$P$24</formula>
    </cfRule>
  </conditionalFormatting>
  <conditionalFormatting sqref="O25">
    <cfRule type="cellIs" dxfId="1263" priority="15" stopIfTrue="1" operator="notEqual">
      <formula>$P$25</formula>
    </cfRule>
    <cfRule type="cellIs" dxfId="1262" priority="16" stopIfTrue="1" operator="greaterThan">
      <formula>$P$25</formula>
    </cfRule>
  </conditionalFormatting>
  <conditionalFormatting sqref="O26">
    <cfRule type="cellIs" dxfId="1261" priority="14" stopIfTrue="1" operator="notEqual">
      <formula>$P$26</formula>
    </cfRule>
  </conditionalFormatting>
  <conditionalFormatting sqref="O27">
    <cfRule type="cellIs" dxfId="1260" priority="13" stopIfTrue="1" operator="notEqual">
      <formula>$P$27</formula>
    </cfRule>
  </conditionalFormatting>
  <conditionalFormatting sqref="O28">
    <cfRule type="cellIs" dxfId="1259" priority="12" stopIfTrue="1" operator="notEqual">
      <formula>$P$28</formula>
    </cfRule>
  </conditionalFormatting>
  <conditionalFormatting sqref="O29">
    <cfRule type="cellIs" dxfId="1258" priority="11" stopIfTrue="1" operator="notEqual">
      <formula>$P$29</formula>
    </cfRule>
  </conditionalFormatting>
  <conditionalFormatting sqref="O30">
    <cfRule type="cellIs" dxfId="1257" priority="10" stopIfTrue="1" operator="notEqual">
      <formula>$P$30</formula>
    </cfRule>
  </conditionalFormatting>
  <conditionalFormatting sqref="O31">
    <cfRule type="cellIs" dxfId="1256" priority="8" stopIfTrue="1" operator="notEqual">
      <formula>$P$31</formula>
    </cfRule>
    <cfRule type="cellIs" dxfId="1255" priority="9" stopIfTrue="1" operator="greaterThan">
      <formula>$P$31</formula>
    </cfRule>
  </conditionalFormatting>
  <conditionalFormatting sqref="O32">
    <cfRule type="cellIs" dxfId="1254" priority="6" stopIfTrue="1" operator="notEqual">
      <formula>$P$32</formula>
    </cfRule>
    <cfRule type="cellIs" dxfId="1253" priority="7" stopIfTrue="1" operator="greaterThan">
      <formula>$P$32</formula>
    </cfRule>
  </conditionalFormatting>
  <conditionalFormatting sqref="O33">
    <cfRule type="cellIs" dxfId="1252" priority="5" stopIfTrue="1" operator="notEqual">
      <formula>$P$33</formula>
    </cfRule>
  </conditionalFormatting>
  <conditionalFormatting sqref="O13">
    <cfRule type="cellIs" dxfId="1251" priority="4" stopIfTrue="1" operator="notEqual">
      <formula>$P$13</formula>
    </cfRule>
  </conditionalFormatting>
  <conditionalFormatting sqref="AG3:AG34">
    <cfRule type="cellIs" dxfId="1250" priority="3" stopIfTrue="1" operator="notEqual">
      <formula>E3</formula>
    </cfRule>
  </conditionalFormatting>
  <conditionalFormatting sqref="AH3:AH34">
    <cfRule type="cellIs" dxfId="1249" priority="2" stopIfTrue="1" operator="notBetween">
      <formula>AI3+$AG$40</formula>
      <formula>AI3-$AG$40</formula>
    </cfRule>
  </conditionalFormatting>
  <conditionalFormatting sqref="AL3:AL33">
    <cfRule type="cellIs" dxfId="12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95</v>
      </c>
      <c r="B3" s="487">
        <v>0.375</v>
      </c>
      <c r="C3" s="488">
        <v>2013</v>
      </c>
      <c r="D3" s="488">
        <v>3</v>
      </c>
      <c r="E3" s="488">
        <v>1</v>
      </c>
      <c r="F3" s="489">
        <v>322367</v>
      </c>
      <c r="G3" s="488">
        <v>0</v>
      </c>
      <c r="H3" s="489">
        <v>439890</v>
      </c>
      <c r="I3" s="488">
        <v>0</v>
      </c>
      <c r="J3" s="488">
        <v>0</v>
      </c>
      <c r="K3" s="488">
        <v>0</v>
      </c>
      <c r="L3" s="490">
        <v>313.1737</v>
      </c>
      <c r="M3" s="489">
        <v>18.2</v>
      </c>
      <c r="N3" s="491">
        <v>0</v>
      </c>
      <c r="O3" s="492">
        <v>14</v>
      </c>
      <c r="P3" s="493">
        <f>F4-F3</f>
        <v>14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14</v>
      </c>
      <c r="W3" s="498">
        <f>V3*35.31467</f>
        <v>494.40537999999998</v>
      </c>
      <c r="X3" s="497"/>
      <c r="Y3" s="499">
        <f>V3*R3/1000000</f>
        <v>0.12074606896080473</v>
      </c>
      <c r="Z3" s="500">
        <f>S3*V3/1000000</f>
        <v>0.50553964152509723</v>
      </c>
      <c r="AA3" s="501">
        <f>W3*T3/1000000</f>
        <v>0.47915776866886772</v>
      </c>
      <c r="AE3" s="598" t="str">
        <f>RIGHT(F3,6)</f>
        <v>322367</v>
      </c>
      <c r="AF3" s="486"/>
      <c r="AG3" s="491"/>
      <c r="AH3" s="599"/>
      <c r="AI3" s="600">
        <f>IFERROR(AE3*1,0)</f>
        <v>322367</v>
      </c>
      <c r="AJ3" s="601">
        <f>(AI3-AH3)</f>
        <v>322367</v>
      </c>
      <c r="AL3" s="602">
        <f>AH4-AH3</f>
        <v>0</v>
      </c>
      <c r="AM3" s="603">
        <f>AI4-AI3</f>
        <v>14</v>
      </c>
      <c r="AN3" s="604">
        <f>(AM3-AL3)</f>
        <v>14</v>
      </c>
      <c r="AO3" s="605">
        <f>IFERROR(AN3/AM3,"")</f>
        <v>1</v>
      </c>
    </row>
    <row r="4" spans="1:41" x14ac:dyDescent="0.2">
      <c r="A4" s="502">
        <v>95</v>
      </c>
      <c r="B4" s="503">
        <v>0.375</v>
      </c>
      <c r="C4" s="504">
        <v>2013</v>
      </c>
      <c r="D4" s="504">
        <v>3</v>
      </c>
      <c r="E4" s="504">
        <v>2</v>
      </c>
      <c r="F4" s="505">
        <v>322381</v>
      </c>
      <c r="G4" s="504">
        <v>0</v>
      </c>
      <c r="H4" s="505">
        <v>439891</v>
      </c>
      <c r="I4" s="504">
        <v>0</v>
      </c>
      <c r="J4" s="504">
        <v>0</v>
      </c>
      <c r="K4" s="504">
        <v>0</v>
      </c>
      <c r="L4" s="506">
        <v>313.6542</v>
      </c>
      <c r="M4" s="505">
        <v>10.9</v>
      </c>
      <c r="N4" s="507">
        <v>0</v>
      </c>
      <c r="O4" s="508">
        <v>26</v>
      </c>
      <c r="P4" s="493">
        <f t="shared" ref="P4:P33" si="0">F5-F4</f>
        <v>26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26</v>
      </c>
      <c r="W4" s="512">
        <f>V4*35.31467</f>
        <v>918.18142</v>
      </c>
      <c r="X4" s="497"/>
      <c r="Y4" s="513">
        <f>V4*R4/1000000</f>
        <v>0.22404626200362812</v>
      </c>
      <c r="Z4" s="510">
        <f>S4*V4/1000000</f>
        <v>0.93803688975679023</v>
      </c>
      <c r="AA4" s="511">
        <f>W4*T4/1000000</f>
        <v>0.88908490275660157</v>
      </c>
      <c r="AE4" s="598" t="str">
        <f t="shared" ref="AE4:AE34" si="3">RIGHT(F4,6)</f>
        <v>322381</v>
      </c>
      <c r="AF4" s="502"/>
      <c r="AG4" s="606"/>
      <c r="AH4" s="607"/>
      <c r="AI4" s="608">
        <f t="shared" ref="AI4:AI34" si="4">IFERROR(AE4*1,0)</f>
        <v>322381</v>
      </c>
      <c r="AJ4" s="609">
        <f t="shared" ref="AJ4:AJ34" si="5">(AI4-AH4)</f>
        <v>322381</v>
      </c>
      <c r="AL4" s="602">
        <f t="shared" ref="AL4:AM33" si="6">AH5-AH4</f>
        <v>0</v>
      </c>
      <c r="AM4" s="610">
        <f t="shared" si="6"/>
        <v>26</v>
      </c>
      <c r="AN4" s="611">
        <f t="shared" ref="AN4:AN33" si="7">(AM4-AL4)</f>
        <v>26</v>
      </c>
      <c r="AO4" s="612">
        <f t="shared" ref="AO4:AO33" si="8">IFERROR(AN4/AM4,"")</f>
        <v>1</v>
      </c>
    </row>
    <row r="5" spans="1:41" x14ac:dyDescent="0.2">
      <c r="A5" s="502">
        <v>95</v>
      </c>
      <c r="B5" s="503">
        <v>0.375</v>
      </c>
      <c r="C5" s="504">
        <v>2013</v>
      </c>
      <c r="D5" s="504">
        <v>3</v>
      </c>
      <c r="E5" s="504">
        <v>3</v>
      </c>
      <c r="F5" s="505">
        <v>322407</v>
      </c>
      <c r="G5" s="504">
        <v>0</v>
      </c>
      <c r="H5" s="505">
        <v>439892</v>
      </c>
      <c r="I5" s="504">
        <v>0</v>
      </c>
      <c r="J5" s="504">
        <v>0</v>
      </c>
      <c r="K5" s="504">
        <v>0</v>
      </c>
      <c r="L5" s="506">
        <v>318.1429</v>
      </c>
      <c r="M5" s="505">
        <v>6.2</v>
      </c>
      <c r="N5" s="507">
        <v>0</v>
      </c>
      <c r="O5" s="508">
        <v>1968</v>
      </c>
      <c r="P5" s="493">
        <f t="shared" si="0"/>
        <v>1968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1968</v>
      </c>
      <c r="W5" s="512">
        <f t="shared" ref="W5:W33" si="10">V5*35.31467</f>
        <v>69499.270560000004</v>
      </c>
      <c r="X5" s="497"/>
      <c r="Y5" s="513">
        <f t="shared" ref="Y5:Y33" si="11">V5*R5/1000000</f>
        <v>17.003869080853686</v>
      </c>
      <c r="Z5" s="510">
        <f t="shared" ref="Z5:Z33" si="12">S5*V5/1000000</f>
        <v>71.191799067718208</v>
      </c>
      <c r="AA5" s="511">
        <f t="shared" ref="AA5:AA33" si="13">W5*T5/1000000</f>
        <v>67.476614664483762</v>
      </c>
      <c r="AE5" s="598" t="str">
        <f t="shared" si="3"/>
        <v>322407</v>
      </c>
      <c r="AF5" s="502"/>
      <c r="AG5" s="606"/>
      <c r="AH5" s="607"/>
      <c r="AI5" s="608">
        <f t="shared" si="4"/>
        <v>322407</v>
      </c>
      <c r="AJ5" s="609">
        <f t="shared" si="5"/>
        <v>322407</v>
      </c>
      <c r="AL5" s="602">
        <f t="shared" si="6"/>
        <v>0</v>
      </c>
      <c r="AM5" s="610">
        <f t="shared" si="6"/>
        <v>1968</v>
      </c>
      <c r="AN5" s="611">
        <f t="shared" si="7"/>
        <v>1968</v>
      </c>
      <c r="AO5" s="612">
        <f t="shared" si="8"/>
        <v>1</v>
      </c>
    </row>
    <row r="6" spans="1:41" x14ac:dyDescent="0.2">
      <c r="A6" s="502">
        <v>95</v>
      </c>
      <c r="B6" s="503">
        <v>0.375</v>
      </c>
      <c r="C6" s="504">
        <v>2013</v>
      </c>
      <c r="D6" s="504">
        <v>3</v>
      </c>
      <c r="E6" s="504">
        <v>4</v>
      </c>
      <c r="F6" s="505">
        <v>324375</v>
      </c>
      <c r="G6" s="504">
        <v>0</v>
      </c>
      <c r="H6" s="505">
        <v>439975</v>
      </c>
      <c r="I6" s="504">
        <v>0</v>
      </c>
      <c r="J6" s="504">
        <v>0</v>
      </c>
      <c r="K6" s="504">
        <v>0</v>
      </c>
      <c r="L6" s="506">
        <v>318.02260000000001</v>
      </c>
      <c r="M6" s="505">
        <v>17.100000000000001</v>
      </c>
      <c r="N6" s="507">
        <v>0</v>
      </c>
      <c r="O6" s="508">
        <v>4730</v>
      </c>
      <c r="P6" s="493">
        <f t="shared" si="0"/>
        <v>4730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4730</v>
      </c>
      <c r="W6" s="512">
        <f t="shared" si="10"/>
        <v>167038.3891</v>
      </c>
      <c r="X6" s="497"/>
      <c r="Y6" s="513">
        <f t="shared" si="11"/>
        <v>41.013999626629264</v>
      </c>
      <c r="Z6" s="510">
        <f t="shared" si="12"/>
        <v>171.71741363677137</v>
      </c>
      <c r="AA6" s="511">
        <f t="shared" si="13"/>
        <v>162.75624303479995</v>
      </c>
      <c r="AE6" s="598" t="str">
        <f t="shared" si="3"/>
        <v>324375</v>
      </c>
      <c r="AF6" s="502"/>
      <c r="AG6" s="606"/>
      <c r="AH6" s="607"/>
      <c r="AI6" s="608">
        <f t="shared" si="4"/>
        <v>324375</v>
      </c>
      <c r="AJ6" s="609">
        <f t="shared" si="5"/>
        <v>324375</v>
      </c>
      <c r="AL6" s="602">
        <f t="shared" si="6"/>
        <v>0</v>
      </c>
      <c r="AM6" s="610">
        <f t="shared" si="6"/>
        <v>4730</v>
      </c>
      <c r="AN6" s="611">
        <f t="shared" si="7"/>
        <v>4730</v>
      </c>
      <c r="AO6" s="612">
        <f t="shared" si="8"/>
        <v>1</v>
      </c>
    </row>
    <row r="7" spans="1:41" x14ac:dyDescent="0.2">
      <c r="A7" s="502">
        <v>95</v>
      </c>
      <c r="B7" s="503">
        <v>0.375</v>
      </c>
      <c r="C7" s="504">
        <v>2013</v>
      </c>
      <c r="D7" s="504">
        <v>3</v>
      </c>
      <c r="E7" s="504">
        <v>5</v>
      </c>
      <c r="F7" s="505">
        <v>329105</v>
      </c>
      <c r="G7" s="504">
        <v>0</v>
      </c>
      <c r="H7" s="505">
        <v>440183</v>
      </c>
      <c r="I7" s="504">
        <v>0</v>
      </c>
      <c r="J7" s="504">
        <v>0</v>
      </c>
      <c r="K7" s="504">
        <v>0</v>
      </c>
      <c r="L7" s="506">
        <v>311.16000000000003</v>
      </c>
      <c r="M7" s="505">
        <v>20.100000000000001</v>
      </c>
      <c r="N7" s="507">
        <v>0</v>
      </c>
      <c r="O7" s="508">
        <v>5021</v>
      </c>
      <c r="P7" s="493">
        <f t="shared" si="0"/>
        <v>5021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5021</v>
      </c>
      <c r="W7" s="512">
        <f t="shared" si="10"/>
        <v>177314.95806999999</v>
      </c>
      <c r="X7" s="497"/>
      <c r="Y7" s="513">
        <f t="shared" si="11"/>
        <v>43.500952673344038</v>
      </c>
      <c r="Z7" s="510">
        <f t="shared" si="12"/>
        <v>182.12978865275682</v>
      </c>
      <c r="AA7" s="511">
        <f t="shared" si="13"/>
        <v>172.62524235630096</v>
      </c>
      <c r="AE7" s="598" t="str">
        <f t="shared" si="3"/>
        <v>329105</v>
      </c>
      <c r="AF7" s="502"/>
      <c r="AG7" s="606"/>
      <c r="AH7" s="607"/>
      <c r="AI7" s="608">
        <f t="shared" si="4"/>
        <v>329105</v>
      </c>
      <c r="AJ7" s="609">
        <f t="shared" si="5"/>
        <v>329105</v>
      </c>
      <c r="AL7" s="602">
        <f t="shared" si="6"/>
        <v>0</v>
      </c>
      <c r="AM7" s="610">
        <f t="shared" si="6"/>
        <v>5021</v>
      </c>
      <c r="AN7" s="611">
        <f t="shared" si="7"/>
        <v>5021</v>
      </c>
      <c r="AO7" s="612">
        <f t="shared" si="8"/>
        <v>1</v>
      </c>
    </row>
    <row r="8" spans="1:41" x14ac:dyDescent="0.2">
      <c r="A8" s="502">
        <v>95</v>
      </c>
      <c r="B8" s="503">
        <v>0.375</v>
      </c>
      <c r="C8" s="504">
        <v>2013</v>
      </c>
      <c r="D8" s="504">
        <v>3</v>
      </c>
      <c r="E8" s="504">
        <v>6</v>
      </c>
      <c r="F8" s="505">
        <v>334126</v>
      </c>
      <c r="G8" s="504">
        <v>0</v>
      </c>
      <c r="H8" s="505">
        <v>440395</v>
      </c>
      <c r="I8" s="504">
        <v>0</v>
      </c>
      <c r="J8" s="504">
        <v>0</v>
      </c>
      <c r="K8" s="504">
        <v>0</v>
      </c>
      <c r="L8" s="506">
        <v>321.82940000000002</v>
      </c>
      <c r="M8" s="505">
        <v>19.899999999999999</v>
      </c>
      <c r="N8" s="507">
        <v>0</v>
      </c>
      <c r="O8" s="508">
        <v>4966</v>
      </c>
      <c r="P8" s="493">
        <f t="shared" si="0"/>
        <v>4966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4966</v>
      </c>
      <c r="W8" s="512">
        <f t="shared" si="10"/>
        <v>175372.65122</v>
      </c>
      <c r="X8" s="497"/>
      <c r="Y8" s="513">
        <f t="shared" si="11"/>
        <v>43.09122610525413</v>
      </c>
      <c r="Z8" s="510">
        <f t="shared" si="12"/>
        <v>180.41434545747799</v>
      </c>
      <c r="AA8" s="511">
        <f t="shared" si="13"/>
        <v>170.9993205368996</v>
      </c>
      <c r="AE8" s="598" t="str">
        <f t="shared" si="3"/>
        <v>334126</v>
      </c>
      <c r="AF8" s="502"/>
      <c r="AG8" s="606"/>
      <c r="AH8" s="607"/>
      <c r="AI8" s="608">
        <f t="shared" si="4"/>
        <v>334126</v>
      </c>
      <c r="AJ8" s="609">
        <f t="shared" si="5"/>
        <v>334126</v>
      </c>
      <c r="AL8" s="602">
        <f t="shared" si="6"/>
        <v>0</v>
      </c>
      <c r="AM8" s="610">
        <f t="shared" si="6"/>
        <v>4966</v>
      </c>
      <c r="AN8" s="611">
        <f t="shared" si="7"/>
        <v>4966</v>
      </c>
      <c r="AO8" s="612">
        <f t="shared" si="8"/>
        <v>1</v>
      </c>
    </row>
    <row r="9" spans="1:41" x14ac:dyDescent="0.2">
      <c r="A9" s="502">
        <v>95</v>
      </c>
      <c r="B9" s="503">
        <v>0.375</v>
      </c>
      <c r="C9" s="504">
        <v>2013</v>
      </c>
      <c r="D9" s="504">
        <v>3</v>
      </c>
      <c r="E9" s="504">
        <v>7</v>
      </c>
      <c r="F9" s="505">
        <v>339092</v>
      </c>
      <c r="G9" s="504">
        <v>0</v>
      </c>
      <c r="H9" s="505">
        <v>440604</v>
      </c>
      <c r="I9" s="504">
        <v>0</v>
      </c>
      <c r="J9" s="504">
        <v>0</v>
      </c>
      <c r="K9" s="504">
        <v>0</v>
      </c>
      <c r="L9" s="506">
        <v>324.47230000000002</v>
      </c>
      <c r="M9" s="505">
        <v>20.100000000000001</v>
      </c>
      <c r="N9" s="507">
        <v>0</v>
      </c>
      <c r="O9" s="508">
        <v>4523</v>
      </c>
      <c r="P9" s="493">
        <f t="shared" si="0"/>
        <v>4523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4523</v>
      </c>
      <c r="W9" s="512">
        <f t="shared" si="10"/>
        <v>159728.25240999999</v>
      </c>
      <c r="X9" s="497"/>
      <c r="Y9" s="513">
        <f t="shared" si="11"/>
        <v>39.278742208690382</v>
      </c>
      <c r="Z9" s="510">
        <f t="shared" si="12"/>
        <v>164.45223787934486</v>
      </c>
      <c r="AA9" s="511">
        <f t="shared" si="13"/>
        <v>155.87020459394938</v>
      </c>
      <c r="AE9" s="598" t="str">
        <f t="shared" si="3"/>
        <v>339092</v>
      </c>
      <c r="AF9" s="502"/>
      <c r="AG9" s="606"/>
      <c r="AH9" s="607"/>
      <c r="AI9" s="608">
        <f t="shared" si="4"/>
        <v>339092</v>
      </c>
      <c r="AJ9" s="609">
        <f t="shared" si="5"/>
        <v>339092</v>
      </c>
      <c r="AL9" s="602">
        <f t="shared" si="6"/>
        <v>0</v>
      </c>
      <c r="AM9" s="610">
        <f t="shared" si="6"/>
        <v>4523</v>
      </c>
      <c r="AN9" s="611">
        <f t="shared" si="7"/>
        <v>4523</v>
      </c>
      <c r="AO9" s="612">
        <f t="shared" si="8"/>
        <v>1</v>
      </c>
    </row>
    <row r="10" spans="1:41" x14ac:dyDescent="0.2">
      <c r="A10" s="502">
        <v>95</v>
      </c>
      <c r="B10" s="503">
        <v>0.375</v>
      </c>
      <c r="C10" s="504">
        <v>2013</v>
      </c>
      <c r="D10" s="504">
        <v>3</v>
      </c>
      <c r="E10" s="504">
        <v>8</v>
      </c>
      <c r="F10" s="505">
        <v>343615</v>
      </c>
      <c r="G10" s="504">
        <v>0</v>
      </c>
      <c r="H10" s="505">
        <v>440794</v>
      </c>
      <c r="I10" s="504">
        <v>0</v>
      </c>
      <c r="J10" s="504">
        <v>0</v>
      </c>
      <c r="K10" s="504">
        <v>0</v>
      </c>
      <c r="L10" s="506">
        <v>323.64299999999997</v>
      </c>
      <c r="M10" s="505">
        <v>20.7</v>
      </c>
      <c r="N10" s="507">
        <v>0</v>
      </c>
      <c r="O10" s="508">
        <v>4532</v>
      </c>
      <c r="P10" s="493">
        <f t="shared" si="0"/>
        <v>4532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4532</v>
      </c>
      <c r="W10" s="512">
        <f t="shared" si="10"/>
        <v>160046.08444000001</v>
      </c>
      <c r="X10" s="497"/>
      <c r="Y10" s="513">
        <f t="shared" si="11"/>
        <v>39.339607418119847</v>
      </c>
      <c r="Z10" s="510">
        <f t="shared" si="12"/>
        <v>164.70706833818417</v>
      </c>
      <c r="AA10" s="511">
        <f t="shared" si="13"/>
        <v>156.11173658079406</v>
      </c>
      <c r="AE10" s="598" t="str">
        <f t="shared" si="3"/>
        <v>343615</v>
      </c>
      <c r="AF10" s="502"/>
      <c r="AG10" s="606"/>
      <c r="AH10" s="607"/>
      <c r="AI10" s="608">
        <f t="shared" si="4"/>
        <v>343615</v>
      </c>
      <c r="AJ10" s="609">
        <f t="shared" si="5"/>
        <v>343615</v>
      </c>
      <c r="AL10" s="602">
        <f t="shared" si="6"/>
        <v>0</v>
      </c>
      <c r="AM10" s="610">
        <f t="shared" si="6"/>
        <v>4532</v>
      </c>
      <c r="AN10" s="611">
        <f t="shared" si="7"/>
        <v>4532</v>
      </c>
      <c r="AO10" s="612">
        <f t="shared" si="8"/>
        <v>1</v>
      </c>
    </row>
    <row r="11" spans="1:41" x14ac:dyDescent="0.2">
      <c r="A11" s="502">
        <v>95</v>
      </c>
      <c r="B11" s="503">
        <v>0.375</v>
      </c>
      <c r="C11" s="504">
        <v>2013</v>
      </c>
      <c r="D11" s="504">
        <v>3</v>
      </c>
      <c r="E11" s="504">
        <v>9</v>
      </c>
      <c r="F11" s="505">
        <v>348147</v>
      </c>
      <c r="G11" s="504">
        <v>0</v>
      </c>
      <c r="H11" s="505">
        <v>440984</v>
      </c>
      <c r="I11" s="504">
        <v>0</v>
      </c>
      <c r="J11" s="504">
        <v>0</v>
      </c>
      <c r="K11" s="504">
        <v>0</v>
      </c>
      <c r="L11" s="506">
        <v>323.428</v>
      </c>
      <c r="M11" s="505">
        <v>19.100000000000001</v>
      </c>
      <c r="N11" s="507">
        <v>0</v>
      </c>
      <c r="O11" s="508">
        <v>1057</v>
      </c>
      <c r="P11" s="493">
        <f t="shared" si="0"/>
        <v>1057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1057</v>
      </c>
      <c r="W11" s="515">
        <f t="shared" si="10"/>
        <v>37327.606189999999</v>
      </c>
      <c r="Y11" s="513">
        <f t="shared" si="11"/>
        <v>9.1817338619789126</v>
      </c>
      <c r="Z11" s="510">
        <f t="shared" si="12"/>
        <v>38.442083333333308</v>
      </c>
      <c r="AA11" s="511">
        <f t="shared" si="13"/>
        <v>36.435961416228949</v>
      </c>
      <c r="AE11" s="598" t="str">
        <f t="shared" si="3"/>
        <v>348147</v>
      </c>
      <c r="AF11" s="502"/>
      <c r="AG11" s="606"/>
      <c r="AH11" s="607"/>
      <c r="AI11" s="608">
        <f t="shared" si="4"/>
        <v>348147</v>
      </c>
      <c r="AJ11" s="609">
        <f t="shared" si="5"/>
        <v>348147</v>
      </c>
      <c r="AL11" s="602">
        <f t="shared" si="6"/>
        <v>0</v>
      </c>
      <c r="AM11" s="610">
        <f t="shared" si="6"/>
        <v>1057</v>
      </c>
      <c r="AN11" s="611">
        <f t="shared" si="7"/>
        <v>1057</v>
      </c>
      <c r="AO11" s="612">
        <f t="shared" si="8"/>
        <v>1</v>
      </c>
    </row>
    <row r="12" spans="1:41" x14ac:dyDescent="0.2">
      <c r="A12" s="502">
        <v>95</v>
      </c>
      <c r="B12" s="503">
        <v>0.375</v>
      </c>
      <c r="C12" s="504">
        <v>2013</v>
      </c>
      <c r="D12" s="504">
        <v>3</v>
      </c>
      <c r="E12" s="504">
        <v>10</v>
      </c>
      <c r="F12" s="505">
        <v>349204</v>
      </c>
      <c r="G12" s="504">
        <v>0</v>
      </c>
      <c r="H12" s="505">
        <v>441029</v>
      </c>
      <c r="I12" s="504">
        <v>0</v>
      </c>
      <c r="J12" s="504">
        <v>0</v>
      </c>
      <c r="K12" s="504">
        <v>0</v>
      </c>
      <c r="L12" s="506">
        <v>327.87060000000002</v>
      </c>
      <c r="M12" s="505">
        <v>18.100000000000001</v>
      </c>
      <c r="N12" s="507">
        <v>0</v>
      </c>
      <c r="O12" s="508">
        <v>5</v>
      </c>
      <c r="P12" s="493">
        <f t="shared" si="0"/>
        <v>5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5</v>
      </c>
      <c r="W12" s="515">
        <f t="shared" si="10"/>
        <v>176.57335</v>
      </c>
      <c r="Y12" s="513">
        <f t="shared" si="11"/>
        <v>4.3494473190933886E-2</v>
      </c>
      <c r="Z12" s="510">
        <f t="shared" si="12"/>
        <v>0.182102660355802</v>
      </c>
      <c r="AA12" s="511">
        <f t="shared" si="13"/>
        <v>0.1725995297649057</v>
      </c>
      <c r="AE12" s="598" t="str">
        <f t="shared" si="3"/>
        <v>349204</v>
      </c>
      <c r="AF12" s="502"/>
      <c r="AG12" s="606"/>
      <c r="AH12" s="607"/>
      <c r="AI12" s="608">
        <f t="shared" si="4"/>
        <v>349204</v>
      </c>
      <c r="AJ12" s="609">
        <f t="shared" si="5"/>
        <v>349204</v>
      </c>
      <c r="AL12" s="602">
        <f t="shared" si="6"/>
        <v>0</v>
      </c>
      <c r="AM12" s="610">
        <f t="shared" si="6"/>
        <v>5</v>
      </c>
      <c r="AN12" s="611">
        <f t="shared" si="7"/>
        <v>5</v>
      </c>
      <c r="AO12" s="612">
        <f t="shared" si="8"/>
        <v>1</v>
      </c>
    </row>
    <row r="13" spans="1:41" x14ac:dyDescent="0.2">
      <c r="A13" s="502">
        <v>95</v>
      </c>
      <c r="B13" s="503">
        <v>0.375</v>
      </c>
      <c r="C13" s="504">
        <v>2013</v>
      </c>
      <c r="D13" s="504">
        <v>3</v>
      </c>
      <c r="E13" s="504">
        <v>11</v>
      </c>
      <c r="F13" s="505">
        <v>349209</v>
      </c>
      <c r="G13" s="504">
        <v>0</v>
      </c>
      <c r="H13" s="505">
        <v>441030</v>
      </c>
      <c r="I13" s="504">
        <v>0</v>
      </c>
      <c r="J13" s="504">
        <v>0</v>
      </c>
      <c r="K13" s="504">
        <v>0</v>
      </c>
      <c r="L13" s="506">
        <v>327.14100000000002</v>
      </c>
      <c r="M13" s="505">
        <v>17.7</v>
      </c>
      <c r="N13" s="507">
        <v>0</v>
      </c>
      <c r="O13" s="508">
        <v>5</v>
      </c>
      <c r="P13" s="493">
        <f t="shared" si="0"/>
        <v>5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5</v>
      </c>
      <c r="W13" s="515">
        <f t="shared" si="10"/>
        <v>176.57335</v>
      </c>
      <c r="Y13" s="513">
        <f t="shared" si="11"/>
        <v>4.3419147019088923E-2</v>
      </c>
      <c r="Z13" s="510">
        <f t="shared" si="12"/>
        <v>0.18178728473952149</v>
      </c>
      <c r="AA13" s="511">
        <f t="shared" si="13"/>
        <v>0.17230061220399265</v>
      </c>
      <c r="AE13" s="598" t="str">
        <f t="shared" si="3"/>
        <v>349209</v>
      </c>
      <c r="AF13" s="502"/>
      <c r="AG13" s="606"/>
      <c r="AH13" s="607"/>
      <c r="AI13" s="608">
        <f t="shared" si="4"/>
        <v>349209</v>
      </c>
      <c r="AJ13" s="609">
        <f t="shared" si="5"/>
        <v>349209</v>
      </c>
      <c r="AL13" s="602">
        <f t="shared" si="6"/>
        <v>0</v>
      </c>
      <c r="AM13" s="610">
        <f t="shared" si="6"/>
        <v>5</v>
      </c>
      <c r="AN13" s="611">
        <f t="shared" si="7"/>
        <v>5</v>
      </c>
      <c r="AO13" s="612">
        <f t="shared" si="8"/>
        <v>1</v>
      </c>
    </row>
    <row r="14" spans="1:41" x14ac:dyDescent="0.2">
      <c r="A14" s="502">
        <v>95</v>
      </c>
      <c r="B14" s="503">
        <v>0.375</v>
      </c>
      <c r="C14" s="504">
        <v>2013</v>
      </c>
      <c r="D14" s="504">
        <v>3</v>
      </c>
      <c r="E14" s="504">
        <v>12</v>
      </c>
      <c r="F14" s="505">
        <v>349214</v>
      </c>
      <c r="G14" s="504">
        <v>0</v>
      </c>
      <c r="H14" s="505">
        <v>441030</v>
      </c>
      <c r="I14" s="504">
        <v>0</v>
      </c>
      <c r="J14" s="504">
        <v>0</v>
      </c>
      <c r="K14" s="504">
        <v>0</v>
      </c>
      <c r="L14" s="506">
        <v>323.30930000000001</v>
      </c>
      <c r="M14" s="505">
        <v>16</v>
      </c>
      <c r="N14" s="507">
        <v>0</v>
      </c>
      <c r="O14" s="508">
        <v>3721</v>
      </c>
      <c r="P14" s="493">
        <f t="shared" si="0"/>
        <v>3721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3721</v>
      </c>
      <c r="W14" s="515">
        <f t="shared" si="10"/>
        <v>131405.88707</v>
      </c>
      <c r="Y14" s="513">
        <f t="shared" si="11"/>
        <v>32.326417669834349</v>
      </c>
      <c r="Z14" s="510">
        <f t="shared" si="12"/>
        <v>135.34424550006244</v>
      </c>
      <c r="AA14" s="511">
        <f t="shared" si="13"/>
        <v>128.28122930249347</v>
      </c>
      <c r="AE14" s="598" t="str">
        <f t="shared" si="3"/>
        <v>349214</v>
      </c>
      <c r="AF14" s="502"/>
      <c r="AG14" s="606"/>
      <c r="AH14" s="607"/>
      <c r="AI14" s="608">
        <f t="shared" si="4"/>
        <v>349214</v>
      </c>
      <c r="AJ14" s="609">
        <f t="shared" si="5"/>
        <v>349214</v>
      </c>
      <c r="AL14" s="602">
        <f t="shared" si="6"/>
        <v>352937</v>
      </c>
      <c r="AM14" s="610">
        <f t="shared" si="6"/>
        <v>3721</v>
      </c>
      <c r="AN14" s="611">
        <f t="shared" si="7"/>
        <v>-349216</v>
      </c>
      <c r="AO14" s="612">
        <f t="shared" si="8"/>
        <v>-93.850040311744152</v>
      </c>
    </row>
    <row r="15" spans="1:41" x14ac:dyDescent="0.2">
      <c r="A15" s="502">
        <v>95</v>
      </c>
      <c r="B15" s="503">
        <v>0.375</v>
      </c>
      <c r="C15" s="504">
        <v>2013</v>
      </c>
      <c r="D15" s="504">
        <v>3</v>
      </c>
      <c r="E15" s="504">
        <v>13</v>
      </c>
      <c r="F15" s="505">
        <v>352935</v>
      </c>
      <c r="G15" s="504">
        <v>0</v>
      </c>
      <c r="H15" s="505">
        <v>441187</v>
      </c>
      <c r="I15" s="504">
        <v>0</v>
      </c>
      <c r="J15" s="504">
        <v>0</v>
      </c>
      <c r="K15" s="504">
        <v>0</v>
      </c>
      <c r="L15" s="506">
        <v>321.36900000000003</v>
      </c>
      <c r="M15" s="505">
        <v>20.8</v>
      </c>
      <c r="N15" s="507">
        <v>0</v>
      </c>
      <c r="O15" s="508">
        <v>4936</v>
      </c>
      <c r="P15" s="493">
        <f t="shared" si="0"/>
        <v>4936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4936</v>
      </c>
      <c r="W15" s="515">
        <f t="shared" si="10"/>
        <v>174313.21111999999</v>
      </c>
      <c r="Y15" s="513">
        <f t="shared" si="11"/>
        <v>42.780005378997664</v>
      </c>
      <c r="Z15" s="510">
        <f t="shared" si="12"/>
        <v>179.11132652078743</v>
      </c>
      <c r="AA15" s="511">
        <f t="shared" si="13"/>
        <v>169.76430038228935</v>
      </c>
      <c r="AE15" s="598" t="str">
        <f t="shared" si="3"/>
        <v>352935</v>
      </c>
      <c r="AF15" s="502">
        <v>95</v>
      </c>
      <c r="AG15" s="606">
        <v>13</v>
      </c>
      <c r="AH15" s="607">
        <v>352937</v>
      </c>
      <c r="AI15" s="608">
        <f t="shared" si="4"/>
        <v>352935</v>
      </c>
      <c r="AJ15" s="609">
        <f t="shared" si="5"/>
        <v>-2</v>
      </c>
      <c r="AL15" s="602">
        <f t="shared" si="6"/>
        <v>4936</v>
      </c>
      <c r="AM15" s="610">
        <f t="shared" si="6"/>
        <v>4936</v>
      </c>
      <c r="AN15" s="611">
        <f t="shared" si="7"/>
        <v>0</v>
      </c>
      <c r="AO15" s="612">
        <f t="shared" si="8"/>
        <v>0</v>
      </c>
    </row>
    <row r="16" spans="1:41" x14ac:dyDescent="0.2">
      <c r="A16" s="502">
        <v>95</v>
      </c>
      <c r="B16" s="503">
        <v>0.375</v>
      </c>
      <c r="C16" s="504">
        <v>2013</v>
      </c>
      <c r="D16" s="504">
        <v>3</v>
      </c>
      <c r="E16" s="504">
        <v>14</v>
      </c>
      <c r="F16" s="505">
        <v>357871</v>
      </c>
      <c r="G16" s="504">
        <v>0</v>
      </c>
      <c r="H16" s="505">
        <v>441397</v>
      </c>
      <c r="I16" s="504">
        <v>0</v>
      </c>
      <c r="J16" s="504">
        <v>0</v>
      </c>
      <c r="K16" s="504">
        <v>0</v>
      </c>
      <c r="L16" s="506">
        <v>320.54160000000002</v>
      </c>
      <c r="M16" s="505">
        <v>19.399999999999999</v>
      </c>
      <c r="N16" s="507">
        <v>0</v>
      </c>
      <c r="O16" s="508">
        <v>4959</v>
      </c>
      <c r="P16" s="493">
        <f t="shared" si="0"/>
        <v>4959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4959</v>
      </c>
      <c r="W16" s="515">
        <f t="shared" si="10"/>
        <v>175125.44852999999</v>
      </c>
      <c r="Y16" s="513">
        <f t="shared" si="11"/>
        <v>42.868049340526319</v>
      </c>
      <c r="Z16" s="510">
        <f t="shared" si="12"/>
        <v>179.47994897891562</v>
      </c>
      <c r="AA16" s="511">
        <f t="shared" si="13"/>
        <v>170.11368606841492</v>
      </c>
      <c r="AE16" s="598" t="str">
        <f t="shared" si="3"/>
        <v>357871</v>
      </c>
      <c r="AF16" s="502">
        <v>95</v>
      </c>
      <c r="AG16" s="606">
        <v>14</v>
      </c>
      <c r="AH16" s="607">
        <v>357873</v>
      </c>
      <c r="AI16" s="608">
        <f t="shared" si="4"/>
        <v>357871</v>
      </c>
      <c r="AJ16" s="609">
        <f t="shared" si="5"/>
        <v>-2</v>
      </c>
      <c r="AL16" s="602">
        <f t="shared" si="6"/>
        <v>4959</v>
      </c>
      <c r="AM16" s="610">
        <f t="shared" si="6"/>
        <v>4959</v>
      </c>
      <c r="AN16" s="611">
        <f t="shared" si="7"/>
        <v>0</v>
      </c>
      <c r="AO16" s="612">
        <f t="shared" si="8"/>
        <v>0</v>
      </c>
    </row>
    <row r="17" spans="1:41" x14ac:dyDescent="0.2">
      <c r="A17" s="502">
        <v>95</v>
      </c>
      <c r="B17" s="503">
        <v>0.375</v>
      </c>
      <c r="C17" s="504">
        <v>2013</v>
      </c>
      <c r="D17" s="504">
        <v>3</v>
      </c>
      <c r="E17" s="504">
        <v>15</v>
      </c>
      <c r="F17" s="505">
        <v>362830</v>
      </c>
      <c r="G17" s="504">
        <v>0</v>
      </c>
      <c r="H17" s="505">
        <v>441606</v>
      </c>
      <c r="I17" s="504">
        <v>0</v>
      </c>
      <c r="J17" s="504">
        <v>0</v>
      </c>
      <c r="K17" s="504">
        <v>0</v>
      </c>
      <c r="L17" s="506">
        <v>321.23410000000001</v>
      </c>
      <c r="M17" s="505">
        <v>19.3</v>
      </c>
      <c r="N17" s="507">
        <v>0</v>
      </c>
      <c r="O17" s="508">
        <v>4957</v>
      </c>
      <c r="P17" s="493">
        <f t="shared" si="0"/>
        <v>4957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4957</v>
      </c>
      <c r="W17" s="515">
        <f t="shared" si="10"/>
        <v>175054.81919000001</v>
      </c>
      <c r="Y17" s="513">
        <f t="shared" si="11"/>
        <v>43.388043053255082</v>
      </c>
      <c r="Z17" s="510">
        <f t="shared" si="12"/>
        <v>181.65705865536836</v>
      </c>
      <c r="AA17" s="511">
        <f t="shared" si="13"/>
        <v>172.17718204188495</v>
      </c>
      <c r="AE17" s="598" t="str">
        <f t="shared" si="3"/>
        <v>362830</v>
      </c>
      <c r="AF17" s="502">
        <v>95</v>
      </c>
      <c r="AG17" s="606">
        <v>15</v>
      </c>
      <c r="AH17" s="607">
        <v>362832</v>
      </c>
      <c r="AI17" s="608">
        <f t="shared" si="4"/>
        <v>362830</v>
      </c>
      <c r="AJ17" s="609">
        <f t="shared" si="5"/>
        <v>-2</v>
      </c>
      <c r="AL17" s="602">
        <f t="shared" si="6"/>
        <v>-362832</v>
      </c>
      <c r="AM17" s="610">
        <f t="shared" si="6"/>
        <v>4957</v>
      </c>
      <c r="AN17" s="611">
        <f t="shared" si="7"/>
        <v>367789</v>
      </c>
      <c r="AO17" s="612">
        <f t="shared" si="8"/>
        <v>74.195884607625587</v>
      </c>
    </row>
    <row r="18" spans="1:41" x14ac:dyDescent="0.2">
      <c r="A18" s="502">
        <v>95</v>
      </c>
      <c r="B18" s="503">
        <v>0.375</v>
      </c>
      <c r="C18" s="504">
        <v>2013</v>
      </c>
      <c r="D18" s="504">
        <v>3</v>
      </c>
      <c r="E18" s="504">
        <v>16</v>
      </c>
      <c r="F18" s="505">
        <v>367787</v>
      </c>
      <c r="G18" s="504">
        <v>0</v>
      </c>
      <c r="H18" s="505">
        <v>441816</v>
      </c>
      <c r="I18" s="504">
        <v>0</v>
      </c>
      <c r="J18" s="504">
        <v>0</v>
      </c>
      <c r="K18" s="504">
        <v>0</v>
      </c>
      <c r="L18" s="506">
        <v>320.87860000000001</v>
      </c>
      <c r="M18" s="505">
        <v>19.100000000000001</v>
      </c>
      <c r="N18" s="507">
        <v>0</v>
      </c>
      <c r="O18" s="508">
        <v>868</v>
      </c>
      <c r="P18" s="493">
        <f t="shared" si="0"/>
        <v>868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868</v>
      </c>
      <c r="W18" s="515">
        <f t="shared" si="10"/>
        <v>30653.133559999998</v>
      </c>
      <c r="Y18" s="513">
        <f t="shared" si="11"/>
        <v>7.5975027981088168</v>
      </c>
      <c r="Z18" s="510">
        <f t="shared" si="12"/>
        <v>31.809224715121996</v>
      </c>
      <c r="AA18" s="511">
        <f t="shared" si="13"/>
        <v>30.149242286131958</v>
      </c>
      <c r="AE18" s="598" t="str">
        <f t="shared" si="3"/>
        <v>367787</v>
      </c>
      <c r="AF18" s="502"/>
      <c r="AG18" s="606"/>
      <c r="AH18" s="607"/>
      <c r="AI18" s="608">
        <f t="shared" si="4"/>
        <v>367787</v>
      </c>
      <c r="AJ18" s="609">
        <f t="shared" si="5"/>
        <v>367787</v>
      </c>
      <c r="AL18" s="602">
        <f t="shared" si="6"/>
        <v>0</v>
      </c>
      <c r="AM18" s="610">
        <f t="shared" si="6"/>
        <v>868</v>
      </c>
      <c r="AN18" s="611">
        <f t="shared" si="7"/>
        <v>868</v>
      </c>
      <c r="AO18" s="612">
        <f t="shared" si="8"/>
        <v>1</v>
      </c>
    </row>
    <row r="19" spans="1:41" x14ac:dyDescent="0.2">
      <c r="A19" s="502">
        <v>95</v>
      </c>
      <c r="B19" s="503">
        <v>0.375</v>
      </c>
      <c r="C19" s="504">
        <v>2013</v>
      </c>
      <c r="D19" s="504">
        <v>3</v>
      </c>
      <c r="E19" s="504">
        <v>17</v>
      </c>
      <c r="F19" s="505">
        <v>368655</v>
      </c>
      <c r="G19" s="504">
        <v>0</v>
      </c>
      <c r="H19" s="505">
        <v>441853</v>
      </c>
      <c r="I19" s="504">
        <v>0</v>
      </c>
      <c r="J19" s="504">
        <v>0</v>
      </c>
      <c r="K19" s="504">
        <v>0</v>
      </c>
      <c r="L19" s="506">
        <v>327.43810000000002</v>
      </c>
      <c r="M19" s="505">
        <v>11.9</v>
      </c>
      <c r="N19" s="507">
        <v>0</v>
      </c>
      <c r="O19" s="508">
        <v>0</v>
      </c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>368655</v>
      </c>
      <c r="AF19" s="502"/>
      <c r="AG19" s="606"/>
      <c r="AH19" s="607"/>
      <c r="AI19" s="608">
        <f t="shared" si="4"/>
        <v>368655</v>
      </c>
      <c r="AJ19" s="609">
        <f t="shared" si="5"/>
        <v>368655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>
        <v>95</v>
      </c>
      <c r="B20" s="503">
        <v>0.375</v>
      </c>
      <c r="C20" s="504">
        <v>2013</v>
      </c>
      <c r="D20" s="504">
        <v>3</v>
      </c>
      <c r="E20" s="504">
        <v>18</v>
      </c>
      <c r="F20" s="505">
        <v>368655</v>
      </c>
      <c r="G20" s="504">
        <v>0</v>
      </c>
      <c r="H20" s="505">
        <v>441853</v>
      </c>
      <c r="I20" s="504">
        <v>0</v>
      </c>
      <c r="J20" s="504">
        <v>0</v>
      </c>
      <c r="K20" s="504">
        <v>0</v>
      </c>
      <c r="L20" s="506">
        <v>327.90249999999997</v>
      </c>
      <c r="M20" s="505">
        <v>16.3</v>
      </c>
      <c r="N20" s="507">
        <v>0</v>
      </c>
      <c r="O20" s="508">
        <v>10</v>
      </c>
      <c r="P20" s="493">
        <f t="shared" si="0"/>
        <v>10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10</v>
      </c>
      <c r="W20" s="515">
        <f t="shared" si="10"/>
        <v>353.14670000000001</v>
      </c>
      <c r="Y20" s="513">
        <f t="shared" si="11"/>
        <v>8.7528834079594678E-2</v>
      </c>
      <c r="Z20" s="510">
        <f t="shared" si="12"/>
        <v>0.36646572252444698</v>
      </c>
      <c r="AA20" s="511">
        <f t="shared" si="13"/>
        <v>0.34734150099230371</v>
      </c>
      <c r="AE20" s="598" t="str">
        <f t="shared" si="3"/>
        <v>368655</v>
      </c>
      <c r="AF20" s="502"/>
      <c r="AG20" s="606"/>
      <c r="AH20" s="607"/>
      <c r="AI20" s="608">
        <f t="shared" si="4"/>
        <v>368655</v>
      </c>
      <c r="AJ20" s="609">
        <f t="shared" si="5"/>
        <v>368655</v>
      </c>
      <c r="AL20" s="602">
        <f t="shared" si="6"/>
        <v>0</v>
      </c>
      <c r="AM20" s="610">
        <f t="shared" si="6"/>
        <v>10</v>
      </c>
      <c r="AN20" s="611">
        <f t="shared" si="7"/>
        <v>10</v>
      </c>
      <c r="AO20" s="612">
        <f t="shared" si="8"/>
        <v>1</v>
      </c>
    </row>
    <row r="21" spans="1:41" x14ac:dyDescent="0.2">
      <c r="A21" s="502">
        <v>95</v>
      </c>
      <c r="B21" s="503">
        <v>0.375</v>
      </c>
      <c r="C21" s="504">
        <v>2013</v>
      </c>
      <c r="D21" s="504">
        <v>3</v>
      </c>
      <c r="E21" s="504">
        <v>19</v>
      </c>
      <c r="F21" s="505">
        <v>368665</v>
      </c>
      <c r="G21" s="504">
        <v>0</v>
      </c>
      <c r="H21" s="505">
        <v>441853</v>
      </c>
      <c r="I21" s="504">
        <v>0</v>
      </c>
      <c r="J21" s="504">
        <v>0</v>
      </c>
      <c r="K21" s="504">
        <v>0</v>
      </c>
      <c r="L21" s="506">
        <v>327.03769999999997</v>
      </c>
      <c r="M21" s="505">
        <v>17.899999999999999</v>
      </c>
      <c r="N21" s="507">
        <v>0</v>
      </c>
      <c r="O21" s="508">
        <v>33</v>
      </c>
      <c r="P21" s="493">
        <f t="shared" si="0"/>
        <v>33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33</v>
      </c>
      <c r="W21" s="515">
        <f t="shared" si="10"/>
        <v>1165.38411</v>
      </c>
      <c r="Y21" s="513">
        <f t="shared" si="11"/>
        <v>0.28884515246266246</v>
      </c>
      <c r="Z21" s="510">
        <f t="shared" si="12"/>
        <v>1.2093368843306751</v>
      </c>
      <c r="AA21" s="511">
        <f t="shared" si="13"/>
        <v>1.1462269532746021</v>
      </c>
      <c r="AE21" s="598" t="str">
        <f t="shared" si="3"/>
        <v>368665</v>
      </c>
      <c r="AF21" s="502"/>
      <c r="AG21" s="606"/>
      <c r="AH21" s="607"/>
      <c r="AI21" s="608">
        <f t="shared" si="4"/>
        <v>368665</v>
      </c>
      <c r="AJ21" s="609">
        <f t="shared" si="5"/>
        <v>368665</v>
      </c>
      <c r="AL21" s="602">
        <f t="shared" si="6"/>
        <v>0</v>
      </c>
      <c r="AM21" s="610">
        <f t="shared" si="6"/>
        <v>33</v>
      </c>
      <c r="AN21" s="611">
        <f t="shared" si="7"/>
        <v>33</v>
      </c>
      <c r="AO21" s="612">
        <f t="shared" si="8"/>
        <v>1</v>
      </c>
    </row>
    <row r="22" spans="1:41" x14ac:dyDescent="0.2">
      <c r="A22" s="502">
        <v>95</v>
      </c>
      <c r="B22" s="503">
        <v>0.375</v>
      </c>
      <c r="C22" s="504">
        <v>2013</v>
      </c>
      <c r="D22" s="504">
        <v>3</v>
      </c>
      <c r="E22" s="504">
        <v>20</v>
      </c>
      <c r="F22" s="505">
        <v>368698</v>
      </c>
      <c r="G22" s="504">
        <v>0</v>
      </c>
      <c r="H22" s="505">
        <v>441854</v>
      </c>
      <c r="I22" s="504">
        <v>0</v>
      </c>
      <c r="J22" s="504">
        <v>0</v>
      </c>
      <c r="K22" s="504">
        <v>0</v>
      </c>
      <c r="L22" s="506">
        <v>321.96550000000002</v>
      </c>
      <c r="M22" s="505">
        <v>18.8</v>
      </c>
      <c r="N22" s="507">
        <v>0</v>
      </c>
      <c r="O22" s="508">
        <v>921</v>
      </c>
      <c r="P22" s="493">
        <f t="shared" si="0"/>
        <v>921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921</v>
      </c>
      <c r="W22" s="515">
        <f t="shared" si="10"/>
        <v>32524.81107</v>
      </c>
      <c r="Y22" s="513">
        <f t="shared" si="11"/>
        <v>8.0614056187306691</v>
      </c>
      <c r="Z22" s="510">
        <f t="shared" si="12"/>
        <v>33.751493044501565</v>
      </c>
      <c r="AA22" s="511">
        <f t="shared" si="13"/>
        <v>31.990152241391172</v>
      </c>
      <c r="AE22" s="598" t="str">
        <f t="shared" si="3"/>
        <v>368698</v>
      </c>
      <c r="AF22" s="502"/>
      <c r="AG22" s="606"/>
      <c r="AH22" s="607"/>
      <c r="AI22" s="608">
        <f t="shared" si="4"/>
        <v>368698</v>
      </c>
      <c r="AJ22" s="609">
        <f t="shared" si="5"/>
        <v>368698</v>
      </c>
      <c r="AL22" s="602">
        <f t="shared" si="6"/>
        <v>0</v>
      </c>
      <c r="AM22" s="610">
        <f t="shared" si="6"/>
        <v>921</v>
      </c>
      <c r="AN22" s="611">
        <f t="shared" si="7"/>
        <v>921</v>
      </c>
      <c r="AO22" s="612">
        <f t="shared" si="8"/>
        <v>1</v>
      </c>
    </row>
    <row r="23" spans="1:41" x14ac:dyDescent="0.2">
      <c r="A23" s="502">
        <v>95</v>
      </c>
      <c r="B23" s="503">
        <v>0.375</v>
      </c>
      <c r="C23" s="504">
        <v>2013</v>
      </c>
      <c r="D23" s="504">
        <v>3</v>
      </c>
      <c r="E23" s="504">
        <v>21</v>
      </c>
      <c r="F23" s="505">
        <v>369619</v>
      </c>
      <c r="G23" s="504">
        <v>0</v>
      </c>
      <c r="H23" s="505">
        <v>441893</v>
      </c>
      <c r="I23" s="504">
        <v>0</v>
      </c>
      <c r="J23" s="504">
        <v>0</v>
      </c>
      <c r="K23" s="504">
        <v>0</v>
      </c>
      <c r="L23" s="506">
        <v>321.24180000000001</v>
      </c>
      <c r="M23" s="505">
        <v>19.8</v>
      </c>
      <c r="N23" s="507">
        <v>0</v>
      </c>
      <c r="O23" s="508">
        <v>4728</v>
      </c>
      <c r="P23" s="493">
        <f t="shared" si="0"/>
        <v>4728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4728</v>
      </c>
      <c r="W23" s="515">
        <f t="shared" si="10"/>
        <v>166967.75975999999</v>
      </c>
      <c r="Y23" s="513">
        <f t="shared" si="11"/>
        <v>41.383632752832362</v>
      </c>
      <c r="Z23" s="510">
        <f t="shared" si="12"/>
        <v>173.26499360955853</v>
      </c>
      <c r="AA23" s="511">
        <f t="shared" si="13"/>
        <v>164.22306166916118</v>
      </c>
      <c r="AE23" s="598" t="str">
        <f t="shared" si="3"/>
        <v>369619</v>
      </c>
      <c r="AF23" s="502"/>
      <c r="AG23" s="606"/>
      <c r="AH23" s="607"/>
      <c r="AI23" s="608">
        <f t="shared" si="4"/>
        <v>369619</v>
      </c>
      <c r="AJ23" s="609">
        <f t="shared" si="5"/>
        <v>369619</v>
      </c>
      <c r="AL23" s="602">
        <f t="shared" si="6"/>
        <v>374349</v>
      </c>
      <c r="AM23" s="610">
        <f t="shared" si="6"/>
        <v>4728</v>
      </c>
      <c r="AN23" s="611">
        <f t="shared" si="7"/>
        <v>-369621</v>
      </c>
      <c r="AO23" s="612">
        <f t="shared" si="8"/>
        <v>-78.177030456852791</v>
      </c>
    </row>
    <row r="24" spans="1:41" x14ac:dyDescent="0.2">
      <c r="A24" s="502">
        <v>95</v>
      </c>
      <c r="B24" s="503">
        <v>0.375</v>
      </c>
      <c r="C24" s="504">
        <v>2013</v>
      </c>
      <c r="D24" s="504">
        <v>3</v>
      </c>
      <c r="E24" s="504">
        <v>22</v>
      </c>
      <c r="F24" s="505">
        <v>374347</v>
      </c>
      <c r="G24" s="504">
        <v>0</v>
      </c>
      <c r="H24" s="505">
        <v>442096</v>
      </c>
      <c r="I24" s="504">
        <v>0</v>
      </c>
      <c r="J24" s="504">
        <v>0</v>
      </c>
      <c r="K24" s="504">
        <v>0</v>
      </c>
      <c r="L24" s="506">
        <v>320.09910000000002</v>
      </c>
      <c r="M24" s="505">
        <v>21.2</v>
      </c>
      <c r="N24" s="507">
        <v>0</v>
      </c>
      <c r="O24" s="508">
        <v>4439</v>
      </c>
      <c r="P24" s="493">
        <f t="shared" si="0"/>
        <v>4439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4439</v>
      </c>
      <c r="W24" s="515">
        <f t="shared" si="10"/>
        <v>156761.82013000001</v>
      </c>
      <c r="Y24" s="513">
        <f t="shared" si="11"/>
        <v>38.85404944793207</v>
      </c>
      <c r="Z24" s="510">
        <f t="shared" si="12"/>
        <v>162.67413422860201</v>
      </c>
      <c r="AA24" s="511">
        <f t="shared" si="13"/>
        <v>154.18489229048362</v>
      </c>
      <c r="AE24" s="598" t="str">
        <f t="shared" si="3"/>
        <v>374347</v>
      </c>
      <c r="AF24" s="502">
        <v>95</v>
      </c>
      <c r="AG24" s="606">
        <v>22</v>
      </c>
      <c r="AH24" s="607">
        <v>374349</v>
      </c>
      <c r="AI24" s="608">
        <f t="shared" si="4"/>
        <v>374347</v>
      </c>
      <c r="AJ24" s="609">
        <f t="shared" si="5"/>
        <v>-2</v>
      </c>
      <c r="AL24" s="602">
        <f t="shared" si="6"/>
        <v>4442</v>
      </c>
      <c r="AM24" s="610">
        <f t="shared" si="6"/>
        <v>4439</v>
      </c>
      <c r="AN24" s="611">
        <f t="shared" si="7"/>
        <v>-3</v>
      </c>
      <c r="AO24" s="612">
        <f t="shared" si="8"/>
        <v>-6.7582788916422613E-4</v>
      </c>
    </row>
    <row r="25" spans="1:41" x14ac:dyDescent="0.2">
      <c r="A25" s="502">
        <v>95</v>
      </c>
      <c r="B25" s="503">
        <v>0.375</v>
      </c>
      <c r="C25" s="504">
        <v>2013</v>
      </c>
      <c r="D25" s="504">
        <v>3</v>
      </c>
      <c r="E25" s="504">
        <v>23</v>
      </c>
      <c r="F25" s="505">
        <v>378786</v>
      </c>
      <c r="G25" s="504">
        <v>0</v>
      </c>
      <c r="H25" s="505">
        <v>442285</v>
      </c>
      <c r="I25" s="504">
        <v>0</v>
      </c>
      <c r="J25" s="504">
        <v>0</v>
      </c>
      <c r="K25" s="504">
        <v>0</v>
      </c>
      <c r="L25" s="506">
        <v>320.86200000000002</v>
      </c>
      <c r="M25" s="505">
        <v>21.3</v>
      </c>
      <c r="N25" s="507">
        <v>0</v>
      </c>
      <c r="O25" s="508">
        <v>3610</v>
      </c>
      <c r="P25" s="493">
        <f t="shared" si="0"/>
        <v>3610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3610</v>
      </c>
      <c r="W25" s="515">
        <f t="shared" si="10"/>
        <v>127485.9587</v>
      </c>
      <c r="Y25" s="513">
        <f t="shared" si="11"/>
        <v>31.597909102733677</v>
      </c>
      <c r="Z25" s="510">
        <f t="shared" si="12"/>
        <v>132.29412583132535</v>
      </c>
      <c r="AA25" s="511">
        <f t="shared" si="13"/>
        <v>125.39028185822164</v>
      </c>
      <c r="AE25" s="598" t="str">
        <f t="shared" si="3"/>
        <v>378786</v>
      </c>
      <c r="AF25" s="502">
        <v>95</v>
      </c>
      <c r="AG25" s="606">
        <v>23</v>
      </c>
      <c r="AH25" s="607">
        <v>378791</v>
      </c>
      <c r="AI25" s="608">
        <f t="shared" si="4"/>
        <v>378786</v>
      </c>
      <c r="AJ25" s="609">
        <f t="shared" si="5"/>
        <v>-5</v>
      </c>
      <c r="AL25" s="602">
        <f t="shared" si="6"/>
        <v>3604</v>
      </c>
      <c r="AM25" s="610">
        <f t="shared" si="6"/>
        <v>3610</v>
      </c>
      <c r="AN25" s="611">
        <f t="shared" si="7"/>
        <v>6</v>
      </c>
      <c r="AO25" s="612">
        <f t="shared" si="8"/>
        <v>1.6620498614958448E-3</v>
      </c>
    </row>
    <row r="26" spans="1:41" x14ac:dyDescent="0.2">
      <c r="A26" s="502">
        <v>95</v>
      </c>
      <c r="B26" s="503">
        <v>0.375</v>
      </c>
      <c r="C26" s="504">
        <v>2013</v>
      </c>
      <c r="D26" s="504">
        <v>3</v>
      </c>
      <c r="E26" s="504">
        <v>24</v>
      </c>
      <c r="F26" s="505">
        <v>382396</v>
      </c>
      <c r="G26" s="504">
        <v>0</v>
      </c>
      <c r="H26" s="505">
        <v>442438</v>
      </c>
      <c r="I26" s="504">
        <v>0</v>
      </c>
      <c r="J26" s="504">
        <v>0</v>
      </c>
      <c r="K26" s="504">
        <v>0</v>
      </c>
      <c r="L26" s="506">
        <v>324.33620000000002</v>
      </c>
      <c r="M26" s="505">
        <v>20.399999999999999</v>
      </c>
      <c r="N26" s="507">
        <v>0</v>
      </c>
      <c r="O26" s="508">
        <v>2</v>
      </c>
      <c r="P26" s="493">
        <f t="shared" si="0"/>
        <v>2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2</v>
      </c>
      <c r="W26" s="515">
        <f t="shared" si="10"/>
        <v>70.629339999999999</v>
      </c>
      <c r="Y26" s="513">
        <f t="shared" si="11"/>
        <v>1.7505766815918936E-2</v>
      </c>
      <c r="Z26" s="510">
        <f t="shared" si="12"/>
        <v>7.3293144504889399E-2</v>
      </c>
      <c r="AA26" s="511">
        <f t="shared" si="13"/>
        <v>6.9468300198460745E-2</v>
      </c>
      <c r="AE26" s="598" t="str">
        <f t="shared" si="3"/>
        <v>382396</v>
      </c>
      <c r="AF26" s="502">
        <v>95</v>
      </c>
      <c r="AG26" s="606">
        <v>24</v>
      </c>
      <c r="AH26" s="607">
        <v>382395</v>
      </c>
      <c r="AI26" s="608">
        <f t="shared" si="4"/>
        <v>382396</v>
      </c>
      <c r="AJ26" s="609">
        <f t="shared" si="5"/>
        <v>1</v>
      </c>
      <c r="AL26" s="602">
        <f t="shared" si="6"/>
        <v>33</v>
      </c>
      <c r="AM26" s="610">
        <f t="shared" si="6"/>
        <v>2</v>
      </c>
      <c r="AN26" s="611">
        <f t="shared" si="7"/>
        <v>-31</v>
      </c>
      <c r="AO26" s="612">
        <f t="shared" si="8"/>
        <v>-15.5</v>
      </c>
    </row>
    <row r="27" spans="1:41" x14ac:dyDescent="0.2">
      <c r="A27" s="502">
        <v>95</v>
      </c>
      <c r="B27" s="503">
        <v>0.375</v>
      </c>
      <c r="C27" s="504">
        <v>2013</v>
      </c>
      <c r="D27" s="504">
        <v>3</v>
      </c>
      <c r="E27" s="504">
        <v>25</v>
      </c>
      <c r="F27" s="505">
        <v>382398</v>
      </c>
      <c r="G27" s="504">
        <v>0</v>
      </c>
      <c r="H27" s="505">
        <v>442438</v>
      </c>
      <c r="I27" s="504">
        <v>0</v>
      </c>
      <c r="J27" s="504">
        <v>0</v>
      </c>
      <c r="K27" s="504">
        <v>0</v>
      </c>
      <c r="L27" s="506">
        <v>324.93060000000003</v>
      </c>
      <c r="M27" s="505">
        <v>18</v>
      </c>
      <c r="N27" s="507">
        <v>0</v>
      </c>
      <c r="O27" s="508">
        <v>26</v>
      </c>
      <c r="P27" s="493">
        <f t="shared" si="0"/>
        <v>26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26</v>
      </c>
      <c r="W27" s="515">
        <f t="shared" si="10"/>
        <v>918.18142</v>
      </c>
      <c r="Y27" s="513">
        <f t="shared" si="11"/>
        <v>0.22757496860694615</v>
      </c>
      <c r="Z27" s="510">
        <f t="shared" si="12"/>
        <v>0.95281087856356217</v>
      </c>
      <c r="AA27" s="511">
        <f t="shared" si="13"/>
        <v>0.90308790257998961</v>
      </c>
      <c r="AE27" s="598" t="str">
        <f t="shared" si="3"/>
        <v>382398</v>
      </c>
      <c r="AF27" s="502">
        <v>95</v>
      </c>
      <c r="AG27" s="606">
        <v>1</v>
      </c>
      <c r="AH27" s="607">
        <v>382428</v>
      </c>
      <c r="AI27" s="608">
        <f t="shared" si="4"/>
        <v>382398</v>
      </c>
      <c r="AJ27" s="609">
        <f t="shared" si="5"/>
        <v>-30</v>
      </c>
      <c r="AL27" s="602">
        <f t="shared" si="6"/>
        <v>-382428</v>
      </c>
      <c r="AM27" s="610">
        <f t="shared" si="6"/>
        <v>26</v>
      </c>
      <c r="AN27" s="611">
        <f t="shared" si="7"/>
        <v>382454</v>
      </c>
      <c r="AO27" s="612">
        <f t="shared" si="8"/>
        <v>14709.76923076923</v>
      </c>
    </row>
    <row r="28" spans="1:41" x14ac:dyDescent="0.2">
      <c r="A28" s="502">
        <v>95</v>
      </c>
      <c r="B28" s="503">
        <v>0.375</v>
      </c>
      <c r="C28" s="504">
        <v>2013</v>
      </c>
      <c r="D28" s="504">
        <v>3</v>
      </c>
      <c r="E28" s="504">
        <v>26</v>
      </c>
      <c r="F28" s="505">
        <v>382424</v>
      </c>
      <c r="G28" s="504">
        <v>0</v>
      </c>
      <c r="H28" s="505">
        <v>442439</v>
      </c>
      <c r="I28" s="504">
        <v>0</v>
      </c>
      <c r="J28" s="504">
        <v>0</v>
      </c>
      <c r="K28" s="504">
        <v>0</v>
      </c>
      <c r="L28" s="506">
        <v>320.5453</v>
      </c>
      <c r="M28" s="505">
        <v>17</v>
      </c>
      <c r="N28" s="507">
        <v>0</v>
      </c>
      <c r="O28" s="508">
        <v>2</v>
      </c>
      <c r="P28" s="493">
        <f t="shared" si="0"/>
        <v>2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2</v>
      </c>
      <c r="W28" s="515">
        <f t="shared" si="10"/>
        <v>70.629339999999999</v>
      </c>
      <c r="Y28" s="513">
        <f t="shared" si="11"/>
        <v>1.7505766815918936E-2</v>
      </c>
      <c r="Z28" s="510">
        <f t="shared" si="12"/>
        <v>7.3293144504889399E-2</v>
      </c>
      <c r="AA28" s="511">
        <f t="shared" si="13"/>
        <v>6.9468300198460745E-2</v>
      </c>
      <c r="AE28" s="598" t="str">
        <f t="shared" si="3"/>
        <v>382424</v>
      </c>
      <c r="AF28" s="502"/>
      <c r="AG28" s="606"/>
      <c r="AH28" s="607"/>
      <c r="AI28" s="608">
        <f t="shared" si="4"/>
        <v>382424</v>
      </c>
      <c r="AJ28" s="609">
        <f t="shared" si="5"/>
        <v>382424</v>
      </c>
      <c r="AL28" s="602">
        <f t="shared" si="6"/>
        <v>382426</v>
      </c>
      <c r="AM28" s="610">
        <f t="shared" si="6"/>
        <v>2</v>
      </c>
      <c r="AN28" s="611">
        <f t="shared" si="7"/>
        <v>-382424</v>
      </c>
      <c r="AO28" s="612">
        <f t="shared" si="8"/>
        <v>-191212</v>
      </c>
    </row>
    <row r="29" spans="1:41" x14ac:dyDescent="0.2">
      <c r="A29" s="502">
        <v>95</v>
      </c>
      <c r="B29" s="503">
        <v>0.375</v>
      </c>
      <c r="C29" s="504">
        <v>2013</v>
      </c>
      <c r="D29" s="504">
        <v>3</v>
      </c>
      <c r="E29" s="504">
        <v>27</v>
      </c>
      <c r="F29" s="505">
        <v>382426</v>
      </c>
      <c r="G29" s="504">
        <v>0</v>
      </c>
      <c r="H29" s="505">
        <v>442439</v>
      </c>
      <c r="I29" s="504">
        <v>0</v>
      </c>
      <c r="J29" s="504">
        <v>0</v>
      </c>
      <c r="K29" s="504">
        <v>0</v>
      </c>
      <c r="L29" s="506">
        <v>320.71120000000002</v>
      </c>
      <c r="M29" s="505">
        <v>13.1</v>
      </c>
      <c r="N29" s="507">
        <v>0</v>
      </c>
      <c r="O29" s="508">
        <v>2</v>
      </c>
      <c r="P29" s="493">
        <f t="shared" si="0"/>
        <v>2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2</v>
      </c>
      <c r="W29" s="515">
        <f t="shared" si="10"/>
        <v>70.629339999999999</v>
      </c>
      <c r="Y29" s="513">
        <f t="shared" si="11"/>
        <v>1.7505766815918936E-2</v>
      </c>
      <c r="Z29" s="510">
        <f t="shared" si="12"/>
        <v>7.3293144504889399E-2</v>
      </c>
      <c r="AA29" s="511">
        <f t="shared" si="13"/>
        <v>6.9468300198460745E-2</v>
      </c>
      <c r="AE29" s="598" t="str">
        <f t="shared" si="3"/>
        <v>382426</v>
      </c>
      <c r="AF29" s="502">
        <v>95</v>
      </c>
      <c r="AG29" s="606">
        <v>27</v>
      </c>
      <c r="AH29" s="607">
        <v>382426</v>
      </c>
      <c r="AI29" s="608">
        <f t="shared" si="4"/>
        <v>382426</v>
      </c>
      <c r="AJ29" s="609">
        <f t="shared" si="5"/>
        <v>0</v>
      </c>
      <c r="AL29" s="602">
        <f t="shared" si="6"/>
        <v>2</v>
      </c>
      <c r="AM29" s="610">
        <f t="shared" si="6"/>
        <v>2</v>
      </c>
      <c r="AN29" s="611">
        <f t="shared" si="7"/>
        <v>0</v>
      </c>
      <c r="AO29" s="612">
        <f t="shared" si="8"/>
        <v>0</v>
      </c>
    </row>
    <row r="30" spans="1:41" x14ac:dyDescent="0.2">
      <c r="A30" s="502">
        <v>95</v>
      </c>
      <c r="B30" s="503">
        <v>0.375</v>
      </c>
      <c r="C30" s="504">
        <v>2013</v>
      </c>
      <c r="D30" s="504">
        <v>3</v>
      </c>
      <c r="E30" s="504">
        <v>28</v>
      </c>
      <c r="F30" s="505">
        <v>382428</v>
      </c>
      <c r="G30" s="504">
        <v>0</v>
      </c>
      <c r="H30" s="505">
        <v>442440</v>
      </c>
      <c r="I30" s="504">
        <v>0</v>
      </c>
      <c r="J30" s="504">
        <v>0</v>
      </c>
      <c r="K30" s="504">
        <v>0</v>
      </c>
      <c r="L30" s="506">
        <v>323.15410000000003</v>
      </c>
      <c r="M30" s="505">
        <v>17.899999999999999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382428</v>
      </c>
      <c r="AF30" s="502">
        <v>95</v>
      </c>
      <c r="AG30" s="606">
        <v>28</v>
      </c>
      <c r="AH30" s="607">
        <v>382428</v>
      </c>
      <c r="AI30" s="608">
        <f t="shared" si="4"/>
        <v>382428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95</v>
      </c>
      <c r="B31" s="503">
        <v>0.375</v>
      </c>
      <c r="C31" s="504">
        <v>2013</v>
      </c>
      <c r="D31" s="504">
        <v>3</v>
      </c>
      <c r="E31" s="504">
        <v>29</v>
      </c>
      <c r="F31" s="505">
        <v>382428</v>
      </c>
      <c r="G31" s="504">
        <v>0</v>
      </c>
      <c r="H31" s="505">
        <v>442440</v>
      </c>
      <c r="I31" s="504">
        <v>0</v>
      </c>
      <c r="J31" s="504">
        <v>0</v>
      </c>
      <c r="K31" s="504">
        <v>0</v>
      </c>
      <c r="L31" s="506">
        <v>326.06020000000001</v>
      </c>
      <c r="M31" s="505">
        <v>17.7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382428</v>
      </c>
      <c r="AF31" s="502">
        <v>95</v>
      </c>
      <c r="AG31" s="606">
        <v>29</v>
      </c>
      <c r="AH31" s="607">
        <v>382428</v>
      </c>
      <c r="AI31" s="608">
        <f t="shared" si="4"/>
        <v>382428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95</v>
      </c>
      <c r="B32" s="503">
        <v>0.375</v>
      </c>
      <c r="C32" s="504">
        <v>2013</v>
      </c>
      <c r="D32" s="504">
        <v>3</v>
      </c>
      <c r="E32" s="504">
        <v>30</v>
      </c>
      <c r="F32" s="505">
        <v>382428</v>
      </c>
      <c r="G32" s="504">
        <v>0</v>
      </c>
      <c r="H32" s="505">
        <v>442440</v>
      </c>
      <c r="I32" s="504">
        <v>0</v>
      </c>
      <c r="J32" s="504">
        <v>0</v>
      </c>
      <c r="K32" s="504">
        <v>0</v>
      </c>
      <c r="L32" s="506">
        <v>325.91629999999998</v>
      </c>
      <c r="M32" s="505">
        <v>19.7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382428</v>
      </c>
      <c r="AF32" s="502">
        <v>95</v>
      </c>
      <c r="AG32" s="606">
        <v>30</v>
      </c>
      <c r="AH32" s="607">
        <v>382428</v>
      </c>
      <c r="AI32" s="608">
        <f t="shared" si="4"/>
        <v>382428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95</v>
      </c>
      <c r="B33" s="503">
        <v>0.375</v>
      </c>
      <c r="C33" s="504">
        <v>2013</v>
      </c>
      <c r="D33" s="504">
        <v>3</v>
      </c>
      <c r="E33" s="504">
        <v>31</v>
      </c>
      <c r="F33" s="505">
        <v>382428</v>
      </c>
      <c r="G33" s="504">
        <v>0</v>
      </c>
      <c r="H33" s="505">
        <v>442440</v>
      </c>
      <c r="I33" s="504">
        <v>0</v>
      </c>
      <c r="J33" s="504">
        <v>0</v>
      </c>
      <c r="K33" s="504">
        <v>0</v>
      </c>
      <c r="L33" s="506">
        <v>325.8005</v>
      </c>
      <c r="M33" s="505">
        <v>19.8</v>
      </c>
      <c r="N33" s="507">
        <v>0</v>
      </c>
      <c r="O33" s="508">
        <v>0</v>
      </c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>382428</v>
      </c>
      <c r="AF33" s="502">
        <v>95</v>
      </c>
      <c r="AG33" s="606">
        <v>31</v>
      </c>
      <c r="AH33" s="607">
        <v>382428</v>
      </c>
      <c r="AI33" s="608">
        <f t="shared" si="4"/>
        <v>382428</v>
      </c>
      <c r="AJ33" s="609">
        <f t="shared" si="5"/>
        <v>0</v>
      </c>
      <c r="AL33" s="602">
        <f t="shared" si="6"/>
        <v>-382428</v>
      </c>
      <c r="AM33" s="613">
        <f t="shared" si="6"/>
        <v>0</v>
      </c>
      <c r="AN33" s="611">
        <f t="shared" si="7"/>
        <v>382428</v>
      </c>
      <c r="AO33" s="612" t="str">
        <f t="shared" si="8"/>
        <v/>
      </c>
    </row>
    <row r="34" spans="1:41" ht="13.5" thickBot="1" x14ac:dyDescent="0.25">
      <c r="A34" s="148">
        <v>95</v>
      </c>
      <c r="B34" s="520">
        <v>0.375</v>
      </c>
      <c r="C34" s="146">
        <v>2013</v>
      </c>
      <c r="D34" s="146">
        <v>4</v>
      </c>
      <c r="E34" s="146">
        <v>1</v>
      </c>
      <c r="F34" s="521">
        <v>382428</v>
      </c>
      <c r="G34" s="146">
        <v>0</v>
      </c>
      <c r="H34" s="521">
        <v>442440</v>
      </c>
      <c r="I34" s="146">
        <v>0</v>
      </c>
      <c r="J34" s="146">
        <v>0</v>
      </c>
      <c r="K34" s="146">
        <v>0</v>
      </c>
      <c r="L34" s="522">
        <v>324.86669999999998</v>
      </c>
      <c r="M34" s="521">
        <v>20.3</v>
      </c>
      <c r="N34" s="523">
        <v>0</v>
      </c>
      <c r="O34" s="524">
        <v>33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382428</v>
      </c>
      <c r="AF34" s="148"/>
      <c r="AG34" s="614"/>
      <c r="AH34" s="615"/>
      <c r="AI34" s="616">
        <f t="shared" si="4"/>
        <v>382428</v>
      </c>
      <c r="AJ34" s="617">
        <f t="shared" si="5"/>
        <v>382428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327.90249999999997</v>
      </c>
      <c r="M36" s="535">
        <f>MAX(M3:M34)</f>
        <v>21.3</v>
      </c>
      <c r="N36" s="533" t="s">
        <v>68</v>
      </c>
      <c r="O36" s="535">
        <f>SUM(O3:O33)</f>
        <v>60061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60061</v>
      </c>
      <c r="W36" s="539">
        <f>SUM(W3:W33)</f>
        <v>2121034.394869999</v>
      </c>
      <c r="Y36" s="540">
        <f>SUM(Y3:Y33)</f>
        <v>522.35531834459266</v>
      </c>
      <c r="Z36" s="541">
        <f>SUM(Z3:Z33)</f>
        <v>2186.9972468451406</v>
      </c>
      <c r="AA36" s="542">
        <f>SUM(AA3:AA33)</f>
        <v>2072.8675553947651</v>
      </c>
      <c r="AF36" s="621" t="s">
        <v>208</v>
      </c>
      <c r="AG36" s="534">
        <f>COUNT(AG3:AG34)</f>
        <v>12</v>
      </c>
      <c r="AJ36" s="622">
        <f>SUM(AJ3:AJ33)</f>
        <v>6627703</v>
      </c>
      <c r="AK36" s="623" t="s">
        <v>176</v>
      </c>
      <c r="AL36" s="624"/>
      <c r="AM36" s="624"/>
      <c r="AN36" s="622">
        <f>SUM(AN3:AN33)</f>
        <v>60061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322.27306562500002</v>
      </c>
      <c r="M37" s="543">
        <f>AVERAGE(M3:M34)</f>
        <v>17.931249999999999</v>
      </c>
      <c r="N37" s="533" t="s">
        <v>172</v>
      </c>
      <c r="O37" s="544">
        <f>O36*35.31467</f>
        <v>2121034.39487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20</v>
      </c>
      <c r="AN37" s="627">
        <f>IFERROR(AN36/SUM(AM3:AM33),"")</f>
        <v>1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311.16000000000003</v>
      </c>
      <c r="M38" s="544">
        <f>MIN(M3:M34)</f>
        <v>6.2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354.50037218750003</v>
      </c>
      <c r="M44" s="551">
        <f>M37*(1+$L$43)</f>
        <v>19.724374999999998</v>
      </c>
    </row>
    <row r="45" spans="1:41" x14ac:dyDescent="0.2">
      <c r="K45" s="550" t="s">
        <v>186</v>
      </c>
      <c r="L45" s="551">
        <f>L37*(1-$L$43)</f>
        <v>290.0457590625</v>
      </c>
      <c r="M45" s="551">
        <f>M37*(1-$L$43)</f>
        <v>16.138124999999999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247" priority="47" stopIfTrue="1" operator="lessThan">
      <formula>$L$45</formula>
    </cfRule>
    <cfRule type="cellIs" dxfId="1246" priority="48" stopIfTrue="1" operator="greaterThan">
      <formula>$L$44</formula>
    </cfRule>
  </conditionalFormatting>
  <conditionalFormatting sqref="M3:M34">
    <cfRule type="cellIs" dxfId="1245" priority="45" stopIfTrue="1" operator="lessThan">
      <formula>$M$45</formula>
    </cfRule>
    <cfRule type="cellIs" dxfId="1244" priority="46" stopIfTrue="1" operator="greaterThan">
      <formula>$M$44</formula>
    </cfRule>
  </conditionalFormatting>
  <conditionalFormatting sqref="O3:O34">
    <cfRule type="cellIs" dxfId="1243" priority="44" stopIfTrue="1" operator="lessThan">
      <formula>0</formula>
    </cfRule>
  </conditionalFormatting>
  <conditionalFormatting sqref="O3:O33">
    <cfRule type="cellIs" dxfId="1242" priority="43" stopIfTrue="1" operator="lessThan">
      <formula>0</formula>
    </cfRule>
  </conditionalFormatting>
  <conditionalFormatting sqref="O3">
    <cfRule type="cellIs" dxfId="1241" priority="42" stopIfTrue="1" operator="notEqual">
      <formula>$P$3</formula>
    </cfRule>
  </conditionalFormatting>
  <conditionalFormatting sqref="O4">
    <cfRule type="cellIs" dxfId="1240" priority="41" stopIfTrue="1" operator="notEqual">
      <formula>P$4</formula>
    </cfRule>
  </conditionalFormatting>
  <conditionalFormatting sqref="O5">
    <cfRule type="cellIs" dxfId="1239" priority="40" stopIfTrue="1" operator="notEqual">
      <formula>$P$5</formula>
    </cfRule>
  </conditionalFormatting>
  <conditionalFormatting sqref="O6">
    <cfRule type="cellIs" dxfId="1238" priority="39" stopIfTrue="1" operator="notEqual">
      <formula>$P$6</formula>
    </cfRule>
  </conditionalFormatting>
  <conditionalFormatting sqref="O7">
    <cfRule type="cellIs" dxfId="1237" priority="38" stopIfTrue="1" operator="notEqual">
      <formula>$P$7</formula>
    </cfRule>
  </conditionalFormatting>
  <conditionalFormatting sqref="O8">
    <cfRule type="cellIs" dxfId="1236" priority="37" stopIfTrue="1" operator="notEqual">
      <formula>$P$8</formula>
    </cfRule>
  </conditionalFormatting>
  <conditionalFormatting sqref="O9">
    <cfRule type="cellIs" dxfId="1235" priority="36" stopIfTrue="1" operator="notEqual">
      <formula>$P$9</formula>
    </cfRule>
  </conditionalFormatting>
  <conditionalFormatting sqref="O10">
    <cfRule type="cellIs" dxfId="1234" priority="34" stopIfTrue="1" operator="notEqual">
      <formula>$P$10</formula>
    </cfRule>
    <cfRule type="cellIs" dxfId="1233" priority="35" stopIfTrue="1" operator="greaterThan">
      <formula>$P$10</formula>
    </cfRule>
  </conditionalFormatting>
  <conditionalFormatting sqref="O11">
    <cfRule type="cellIs" dxfId="1232" priority="32" stopIfTrue="1" operator="notEqual">
      <formula>$P$11</formula>
    </cfRule>
    <cfRule type="cellIs" dxfId="1231" priority="33" stopIfTrue="1" operator="greaterThan">
      <formula>$P$11</formula>
    </cfRule>
  </conditionalFormatting>
  <conditionalFormatting sqref="O12">
    <cfRule type="cellIs" dxfId="1230" priority="31" stopIfTrue="1" operator="notEqual">
      <formula>$P$12</formula>
    </cfRule>
  </conditionalFormatting>
  <conditionalFormatting sqref="O14">
    <cfRule type="cellIs" dxfId="1229" priority="30" stopIfTrue="1" operator="notEqual">
      <formula>$P$14</formula>
    </cfRule>
  </conditionalFormatting>
  <conditionalFormatting sqref="O15">
    <cfRule type="cellIs" dxfId="1228" priority="29" stopIfTrue="1" operator="notEqual">
      <formula>$P$15</formula>
    </cfRule>
  </conditionalFormatting>
  <conditionalFormatting sqref="O16">
    <cfRule type="cellIs" dxfId="1227" priority="28" stopIfTrue="1" operator="notEqual">
      <formula>$P$16</formula>
    </cfRule>
  </conditionalFormatting>
  <conditionalFormatting sqref="O17">
    <cfRule type="cellIs" dxfId="1226" priority="27" stopIfTrue="1" operator="notEqual">
      <formula>$P$17</formula>
    </cfRule>
  </conditionalFormatting>
  <conditionalFormatting sqref="O18">
    <cfRule type="cellIs" dxfId="1225" priority="26" stopIfTrue="1" operator="notEqual">
      <formula>$P$18</formula>
    </cfRule>
  </conditionalFormatting>
  <conditionalFormatting sqref="O19">
    <cfRule type="cellIs" dxfId="1224" priority="24" stopIfTrue="1" operator="notEqual">
      <formula>$P$19</formula>
    </cfRule>
    <cfRule type="cellIs" dxfId="1223" priority="25" stopIfTrue="1" operator="greaterThan">
      <formula>$P$19</formula>
    </cfRule>
  </conditionalFormatting>
  <conditionalFormatting sqref="O20">
    <cfRule type="cellIs" dxfId="1222" priority="22" stopIfTrue="1" operator="notEqual">
      <formula>$P$20</formula>
    </cfRule>
    <cfRule type="cellIs" dxfId="1221" priority="23" stopIfTrue="1" operator="greaterThan">
      <formula>$P$20</formula>
    </cfRule>
  </conditionalFormatting>
  <conditionalFormatting sqref="O21">
    <cfRule type="cellIs" dxfId="1220" priority="21" stopIfTrue="1" operator="notEqual">
      <formula>$P$21</formula>
    </cfRule>
  </conditionalFormatting>
  <conditionalFormatting sqref="O22">
    <cfRule type="cellIs" dxfId="1219" priority="20" stopIfTrue="1" operator="notEqual">
      <formula>$P$22</formula>
    </cfRule>
  </conditionalFormatting>
  <conditionalFormatting sqref="O23">
    <cfRule type="cellIs" dxfId="1218" priority="19" stopIfTrue="1" operator="notEqual">
      <formula>$P$23</formula>
    </cfRule>
  </conditionalFormatting>
  <conditionalFormatting sqref="O24">
    <cfRule type="cellIs" dxfId="1217" priority="17" stopIfTrue="1" operator="notEqual">
      <formula>$P$24</formula>
    </cfRule>
    <cfRule type="cellIs" dxfId="1216" priority="18" stopIfTrue="1" operator="greaterThan">
      <formula>$P$24</formula>
    </cfRule>
  </conditionalFormatting>
  <conditionalFormatting sqref="O25">
    <cfRule type="cellIs" dxfId="1215" priority="15" stopIfTrue="1" operator="notEqual">
      <formula>$P$25</formula>
    </cfRule>
    <cfRule type="cellIs" dxfId="1214" priority="16" stopIfTrue="1" operator="greaterThan">
      <formula>$P$25</formula>
    </cfRule>
  </conditionalFormatting>
  <conditionalFormatting sqref="O26">
    <cfRule type="cellIs" dxfId="1213" priority="14" stopIfTrue="1" operator="notEqual">
      <formula>$P$26</formula>
    </cfRule>
  </conditionalFormatting>
  <conditionalFormatting sqref="O27">
    <cfRule type="cellIs" dxfId="1212" priority="13" stopIfTrue="1" operator="notEqual">
      <formula>$P$27</formula>
    </cfRule>
  </conditionalFormatting>
  <conditionalFormatting sqref="O28">
    <cfRule type="cellIs" dxfId="1211" priority="12" stopIfTrue="1" operator="notEqual">
      <formula>$P$28</formula>
    </cfRule>
  </conditionalFormatting>
  <conditionalFormatting sqref="O29">
    <cfRule type="cellIs" dxfId="1210" priority="11" stopIfTrue="1" operator="notEqual">
      <formula>$P$29</formula>
    </cfRule>
  </conditionalFormatting>
  <conditionalFormatting sqref="O30">
    <cfRule type="cellIs" dxfId="1209" priority="10" stopIfTrue="1" operator="notEqual">
      <formula>$P$30</formula>
    </cfRule>
  </conditionalFormatting>
  <conditionalFormatting sqref="O31">
    <cfRule type="cellIs" dxfId="1208" priority="8" stopIfTrue="1" operator="notEqual">
      <formula>$P$31</formula>
    </cfRule>
    <cfRule type="cellIs" dxfId="1207" priority="9" stopIfTrue="1" operator="greaterThan">
      <formula>$P$31</formula>
    </cfRule>
  </conditionalFormatting>
  <conditionalFormatting sqref="O32">
    <cfRule type="cellIs" dxfId="1206" priority="6" stopIfTrue="1" operator="notEqual">
      <formula>$P$32</formula>
    </cfRule>
    <cfRule type="cellIs" dxfId="1205" priority="7" stopIfTrue="1" operator="greaterThan">
      <formula>$P$32</formula>
    </cfRule>
  </conditionalFormatting>
  <conditionalFormatting sqref="O33">
    <cfRule type="cellIs" dxfId="1204" priority="5" stopIfTrue="1" operator="notEqual">
      <formula>$P$33</formula>
    </cfRule>
  </conditionalFormatting>
  <conditionalFormatting sqref="O13">
    <cfRule type="cellIs" dxfId="1203" priority="4" stopIfTrue="1" operator="notEqual">
      <formula>$P$13</formula>
    </cfRule>
  </conditionalFormatting>
  <conditionalFormatting sqref="AG3:AG34">
    <cfRule type="cellIs" dxfId="1202" priority="3" stopIfTrue="1" operator="notEqual">
      <formula>E3</formula>
    </cfRule>
  </conditionalFormatting>
  <conditionalFormatting sqref="AH3:AH34">
    <cfRule type="cellIs" dxfId="1201" priority="2" stopIfTrue="1" operator="notBetween">
      <formula>AI3+$AG$40</formula>
      <formula>AI3-$AG$40</formula>
    </cfRule>
  </conditionalFormatting>
  <conditionalFormatting sqref="AL3:AL33">
    <cfRule type="cellIs" dxfId="120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93</v>
      </c>
      <c r="B3" s="487">
        <v>0.375</v>
      </c>
      <c r="C3" s="488">
        <v>2013</v>
      </c>
      <c r="D3" s="488">
        <v>3</v>
      </c>
      <c r="E3" s="488">
        <v>1</v>
      </c>
      <c r="F3" s="489">
        <v>633013</v>
      </c>
      <c r="G3" s="488">
        <v>0</v>
      </c>
      <c r="H3" s="489">
        <v>448037</v>
      </c>
      <c r="I3" s="488">
        <v>0</v>
      </c>
      <c r="J3" s="488">
        <v>0</v>
      </c>
      <c r="K3" s="488">
        <v>0</v>
      </c>
      <c r="L3" s="490">
        <v>100.06529999999999</v>
      </c>
      <c r="M3" s="489">
        <v>21.2</v>
      </c>
      <c r="N3" s="491">
        <v>0</v>
      </c>
      <c r="O3" s="492">
        <v>3092</v>
      </c>
      <c r="P3" s="493">
        <f>F4-F3</f>
        <v>3092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3092</v>
      </c>
      <c r="W3" s="498">
        <f>V3*35.31467</f>
        <v>109192.95964</v>
      </c>
      <c r="X3" s="497"/>
      <c r="Y3" s="499">
        <f>V3*R3/1000000</f>
        <v>26.667631801914872</v>
      </c>
      <c r="Z3" s="500">
        <f>S3*V3/1000000</f>
        <v>111.65204082825717</v>
      </c>
      <c r="AA3" s="501">
        <f>W3*T3/1000000</f>
        <v>105.82541576600993</v>
      </c>
      <c r="AE3" s="598" t="str">
        <f>RIGHT(F3,6)</f>
        <v>633013</v>
      </c>
      <c r="AF3" s="486">
        <v>93</v>
      </c>
      <c r="AG3" s="491">
        <v>1</v>
      </c>
      <c r="AH3" s="599">
        <v>633013</v>
      </c>
      <c r="AI3" s="600">
        <f>IFERROR(AE3*1,0)</f>
        <v>633013</v>
      </c>
      <c r="AJ3" s="601">
        <f>(AI3-AH3)</f>
        <v>0</v>
      </c>
      <c r="AL3" s="602">
        <f>AH4-AH3</f>
        <v>-633013</v>
      </c>
      <c r="AM3" s="603">
        <f>AI4-AI3</f>
        <v>3092</v>
      </c>
      <c r="AN3" s="604">
        <f>(AM3-AL3)</f>
        <v>636105</v>
      </c>
      <c r="AO3" s="605">
        <f>IFERROR(AN3/AM3,"")</f>
        <v>205.72606727037515</v>
      </c>
    </row>
    <row r="4" spans="1:41" x14ac:dyDescent="0.2">
      <c r="A4" s="502">
        <v>93</v>
      </c>
      <c r="B4" s="503">
        <v>0.375</v>
      </c>
      <c r="C4" s="504">
        <v>2013</v>
      </c>
      <c r="D4" s="504">
        <v>3</v>
      </c>
      <c r="E4" s="504">
        <v>2</v>
      </c>
      <c r="F4" s="505">
        <v>636105</v>
      </c>
      <c r="G4" s="504">
        <v>16361057</v>
      </c>
      <c r="H4" s="505">
        <v>181364</v>
      </c>
      <c r="I4" s="504">
        <v>1813644</v>
      </c>
      <c r="J4" s="504">
        <v>0</v>
      </c>
      <c r="K4" s="504">
        <v>5</v>
      </c>
      <c r="L4" s="506">
        <v>316.5308</v>
      </c>
      <c r="M4" s="505">
        <v>10.92</v>
      </c>
      <c r="N4" s="507">
        <v>4444.43</v>
      </c>
      <c r="O4" s="508">
        <v>982</v>
      </c>
      <c r="P4" s="493">
        <f t="shared" ref="P4:P33" si="0">F5-F4</f>
        <v>982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982</v>
      </c>
      <c r="W4" s="512">
        <f>V4*35.31467</f>
        <v>34679.005940000003</v>
      </c>
      <c r="X4" s="497"/>
      <c r="Y4" s="513">
        <f>V4*R4/1000000</f>
        <v>8.4620549725985708</v>
      </c>
      <c r="Z4" s="510">
        <f>S4*V4/1000000</f>
        <v>35.428931759275699</v>
      </c>
      <c r="AA4" s="511">
        <f>W4*T4/1000000</f>
        <v>33.580052865653187</v>
      </c>
      <c r="AE4" s="598" t="str">
        <f t="shared" ref="AE4:AE34" si="3">RIGHT(F4,6)</f>
        <v>636105</v>
      </c>
      <c r="AF4" s="502"/>
      <c r="AG4" s="606"/>
      <c r="AH4" s="607"/>
      <c r="AI4" s="608">
        <f t="shared" ref="AI4:AI34" si="4">IFERROR(AE4*1,0)</f>
        <v>636105</v>
      </c>
      <c r="AJ4" s="609">
        <f t="shared" ref="AJ4:AJ34" si="5">(AI4-AH4)</f>
        <v>636105</v>
      </c>
      <c r="AL4" s="602">
        <f t="shared" ref="AL4:AM33" si="6">AH5-AH4</f>
        <v>0</v>
      </c>
      <c r="AM4" s="610">
        <f t="shared" si="6"/>
        <v>982</v>
      </c>
      <c r="AN4" s="611">
        <f t="shared" ref="AN4:AN33" si="7">(AM4-AL4)</f>
        <v>982</v>
      </c>
      <c r="AO4" s="612">
        <f t="shared" ref="AO4:AO33" si="8">IFERROR(AN4/AM4,"")</f>
        <v>1</v>
      </c>
    </row>
    <row r="5" spans="1:41" x14ac:dyDescent="0.2">
      <c r="A5" s="502">
        <v>93</v>
      </c>
      <c r="B5" s="503">
        <v>0.375</v>
      </c>
      <c r="C5" s="504">
        <v>2013</v>
      </c>
      <c r="D5" s="504">
        <v>3</v>
      </c>
      <c r="E5" s="504">
        <v>3</v>
      </c>
      <c r="F5" s="505">
        <v>637087</v>
      </c>
      <c r="G5" s="504">
        <v>16370872</v>
      </c>
      <c r="H5" s="505">
        <v>181404</v>
      </c>
      <c r="I5" s="504">
        <v>1814043</v>
      </c>
      <c r="J5" s="504">
        <v>0</v>
      </c>
      <c r="K5" s="504">
        <v>5</v>
      </c>
      <c r="L5" s="506">
        <v>321.05</v>
      </c>
      <c r="M5" s="505">
        <v>6.73</v>
      </c>
      <c r="N5" s="507">
        <v>4717.2</v>
      </c>
      <c r="O5" s="508">
        <v>873</v>
      </c>
      <c r="P5" s="493">
        <f t="shared" si="0"/>
        <v>873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873</v>
      </c>
      <c r="W5" s="512">
        <f t="shared" ref="W5:W33" si="10">V5*35.31467</f>
        <v>30829.706910000001</v>
      </c>
      <c r="X5" s="497"/>
      <c r="Y5" s="513">
        <f t="shared" ref="Y5:Y33" si="11">V5*R5/1000000</f>
        <v>7.5428748514152781</v>
      </c>
      <c r="Z5" s="510">
        <f t="shared" ref="Z5:Z33" si="12">S5*V5/1000000</f>
        <v>31.580508427905485</v>
      </c>
      <c r="AA5" s="511">
        <f t="shared" ref="AA5:AA33" si="13">W5*T5/1000000</f>
        <v>29.932461688056055</v>
      </c>
      <c r="AE5" s="598" t="str">
        <f t="shared" si="3"/>
        <v>637087</v>
      </c>
      <c r="AF5" s="502"/>
      <c r="AG5" s="606"/>
      <c r="AH5" s="607"/>
      <c r="AI5" s="608">
        <f t="shared" si="4"/>
        <v>637087</v>
      </c>
      <c r="AJ5" s="609">
        <f t="shared" si="5"/>
        <v>637087</v>
      </c>
      <c r="AL5" s="602">
        <f t="shared" si="6"/>
        <v>0</v>
      </c>
      <c r="AM5" s="610">
        <f t="shared" si="6"/>
        <v>873</v>
      </c>
      <c r="AN5" s="611">
        <f t="shared" si="7"/>
        <v>873</v>
      </c>
      <c r="AO5" s="612">
        <f t="shared" si="8"/>
        <v>1</v>
      </c>
    </row>
    <row r="6" spans="1:41" x14ac:dyDescent="0.2">
      <c r="A6" s="502">
        <v>93</v>
      </c>
      <c r="B6" s="503">
        <v>0.375</v>
      </c>
      <c r="C6" s="504">
        <v>2013</v>
      </c>
      <c r="D6" s="504">
        <v>3</v>
      </c>
      <c r="E6" s="504">
        <v>4</v>
      </c>
      <c r="F6" s="505">
        <v>637960</v>
      </c>
      <c r="G6" s="504">
        <v>16379604</v>
      </c>
      <c r="H6" s="505">
        <v>181439</v>
      </c>
      <c r="I6" s="504">
        <v>1814397</v>
      </c>
      <c r="J6" s="504">
        <v>0</v>
      </c>
      <c r="K6" s="504">
        <v>5</v>
      </c>
      <c r="L6" s="506">
        <v>321.03840000000002</v>
      </c>
      <c r="M6" s="505">
        <v>9.9600000000000009</v>
      </c>
      <c r="N6" s="507">
        <v>4624.67</v>
      </c>
      <c r="O6" s="508">
        <v>3952</v>
      </c>
      <c r="P6" s="493">
        <f t="shared" si="0"/>
        <v>3952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3952</v>
      </c>
      <c r="W6" s="512">
        <f t="shared" si="10"/>
        <v>139563.57584</v>
      </c>
      <c r="X6" s="497"/>
      <c r="Y6" s="513">
        <f t="shared" si="11"/>
        <v>34.267933726097013</v>
      </c>
      <c r="Z6" s="510">
        <f t="shared" si="12"/>
        <v>143.47298492442295</v>
      </c>
      <c r="AA6" s="511">
        <f t="shared" si="13"/>
        <v>135.98576585064052</v>
      </c>
      <c r="AE6" s="598" t="str">
        <f t="shared" si="3"/>
        <v>637960</v>
      </c>
      <c r="AF6" s="502"/>
      <c r="AG6" s="606"/>
      <c r="AH6" s="607"/>
      <c r="AI6" s="608">
        <f t="shared" si="4"/>
        <v>637960</v>
      </c>
      <c r="AJ6" s="609">
        <f t="shared" si="5"/>
        <v>637960</v>
      </c>
      <c r="AL6" s="602">
        <f t="shared" si="6"/>
        <v>0</v>
      </c>
      <c r="AM6" s="610">
        <f t="shared" si="6"/>
        <v>3952</v>
      </c>
      <c r="AN6" s="611">
        <f t="shared" si="7"/>
        <v>3952</v>
      </c>
      <c r="AO6" s="612">
        <f t="shared" si="8"/>
        <v>1</v>
      </c>
    </row>
    <row r="7" spans="1:41" x14ac:dyDescent="0.2">
      <c r="A7" s="502">
        <v>93</v>
      </c>
      <c r="B7" s="503">
        <v>0.375</v>
      </c>
      <c r="C7" s="504">
        <v>2013</v>
      </c>
      <c r="D7" s="504">
        <v>3</v>
      </c>
      <c r="E7" s="504">
        <v>5</v>
      </c>
      <c r="F7" s="505">
        <v>641912</v>
      </c>
      <c r="G7" s="504">
        <v>16419121</v>
      </c>
      <c r="H7" s="505">
        <v>181606</v>
      </c>
      <c r="I7" s="504">
        <v>1816060</v>
      </c>
      <c r="J7" s="504">
        <v>0</v>
      </c>
      <c r="K7" s="504">
        <v>5</v>
      </c>
      <c r="L7" s="506">
        <v>314.34089999999998</v>
      </c>
      <c r="M7" s="505">
        <v>12.39</v>
      </c>
      <c r="N7" s="507">
        <v>4397.37</v>
      </c>
      <c r="O7" s="508">
        <v>3792</v>
      </c>
      <c r="P7" s="493">
        <f t="shared" si="0"/>
        <v>3792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3792</v>
      </c>
      <c r="W7" s="512">
        <f t="shared" si="10"/>
        <v>133913.22863999999</v>
      </c>
      <c r="X7" s="497"/>
      <c r="Y7" s="513">
        <f t="shared" si="11"/>
        <v>32.853139322310419</v>
      </c>
      <c r="Z7" s="510">
        <f t="shared" si="12"/>
        <v>137.54952371464924</v>
      </c>
      <c r="AA7" s="511">
        <f t="shared" si="13"/>
        <v>130.37142382296219</v>
      </c>
      <c r="AE7" s="598" t="str">
        <f t="shared" si="3"/>
        <v>641912</v>
      </c>
      <c r="AF7" s="502"/>
      <c r="AG7" s="606"/>
      <c r="AH7" s="607"/>
      <c r="AI7" s="608">
        <f t="shared" si="4"/>
        <v>641912</v>
      </c>
      <c r="AJ7" s="609">
        <f t="shared" si="5"/>
        <v>641912</v>
      </c>
      <c r="AL7" s="602">
        <f t="shared" si="6"/>
        <v>0</v>
      </c>
      <c r="AM7" s="610">
        <f t="shared" si="6"/>
        <v>3792</v>
      </c>
      <c r="AN7" s="611">
        <f t="shared" si="7"/>
        <v>3792</v>
      </c>
      <c r="AO7" s="612">
        <f t="shared" si="8"/>
        <v>1</v>
      </c>
    </row>
    <row r="8" spans="1:41" x14ac:dyDescent="0.2">
      <c r="A8" s="502">
        <v>93</v>
      </c>
      <c r="B8" s="503">
        <v>0.375</v>
      </c>
      <c r="C8" s="504">
        <v>2013</v>
      </c>
      <c r="D8" s="504">
        <v>3</v>
      </c>
      <c r="E8" s="504">
        <v>6</v>
      </c>
      <c r="F8" s="505">
        <v>645704</v>
      </c>
      <c r="G8" s="504">
        <v>16457045</v>
      </c>
      <c r="H8" s="505">
        <v>181760</v>
      </c>
      <c r="I8" s="504">
        <v>1817602</v>
      </c>
      <c r="J8" s="504">
        <v>0</v>
      </c>
      <c r="K8" s="504">
        <v>5</v>
      </c>
      <c r="L8" s="506">
        <v>325.14080000000001</v>
      </c>
      <c r="M8" s="505">
        <v>12.75</v>
      </c>
      <c r="N8" s="507">
        <v>4587.82</v>
      </c>
      <c r="O8" s="508">
        <v>2997</v>
      </c>
      <c r="P8" s="493">
        <f t="shared" si="0"/>
        <v>2997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2997</v>
      </c>
      <c r="W8" s="512">
        <f t="shared" si="10"/>
        <v>105838.06599</v>
      </c>
      <c r="X8" s="497"/>
      <c r="Y8" s="513">
        <f t="shared" si="11"/>
        <v>26.005719822280835</v>
      </c>
      <c r="Z8" s="510">
        <f t="shared" si="12"/>
        <v>108.8807477519254</v>
      </c>
      <c r="AA8" s="511">
        <f t="shared" si="13"/>
        <v>103.19874419031174</v>
      </c>
      <c r="AE8" s="598" t="str">
        <f t="shared" si="3"/>
        <v>645704</v>
      </c>
      <c r="AF8" s="502"/>
      <c r="AG8" s="606"/>
      <c r="AH8" s="607"/>
      <c r="AI8" s="608">
        <f t="shared" si="4"/>
        <v>645704</v>
      </c>
      <c r="AJ8" s="609">
        <f t="shared" si="5"/>
        <v>645704</v>
      </c>
      <c r="AL8" s="602">
        <f t="shared" si="6"/>
        <v>0</v>
      </c>
      <c r="AM8" s="610">
        <f t="shared" si="6"/>
        <v>2997</v>
      </c>
      <c r="AN8" s="611">
        <f t="shared" si="7"/>
        <v>2997</v>
      </c>
      <c r="AO8" s="612">
        <f t="shared" si="8"/>
        <v>1</v>
      </c>
    </row>
    <row r="9" spans="1:41" x14ac:dyDescent="0.2">
      <c r="A9" s="502">
        <v>93</v>
      </c>
      <c r="B9" s="503">
        <v>0.375</v>
      </c>
      <c r="C9" s="504">
        <v>2013</v>
      </c>
      <c r="D9" s="504">
        <v>3</v>
      </c>
      <c r="E9" s="504">
        <v>7</v>
      </c>
      <c r="F9" s="505">
        <v>648701</v>
      </c>
      <c r="G9" s="504">
        <v>16487011</v>
      </c>
      <c r="H9" s="505">
        <v>181881</v>
      </c>
      <c r="I9" s="504">
        <v>1818810</v>
      </c>
      <c r="J9" s="504">
        <v>0</v>
      </c>
      <c r="K9" s="504">
        <v>5</v>
      </c>
      <c r="L9" s="506">
        <v>327.71820000000002</v>
      </c>
      <c r="M9" s="505">
        <v>12.83</v>
      </c>
      <c r="N9" s="507">
        <v>4598.62</v>
      </c>
      <c r="O9" s="508">
        <v>3075</v>
      </c>
      <c r="P9" s="493">
        <f t="shared" si="0"/>
        <v>-646880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3075</v>
      </c>
      <c r="W9" s="512">
        <f t="shared" si="10"/>
        <v>108592.61025</v>
      </c>
      <c r="X9" s="497"/>
      <c r="Y9" s="513">
        <f t="shared" si="11"/>
        <v>26.703986798965936</v>
      </c>
      <c r="Z9" s="510">
        <f t="shared" si="12"/>
        <v>111.80425192991055</v>
      </c>
      <c r="AA9" s="511">
        <f t="shared" si="13"/>
        <v>105.96968364501312</v>
      </c>
      <c r="AE9" s="598" t="str">
        <f t="shared" si="3"/>
        <v>648701</v>
      </c>
      <c r="AF9" s="502"/>
      <c r="AG9" s="606"/>
      <c r="AH9" s="607"/>
      <c r="AI9" s="608">
        <f t="shared" si="4"/>
        <v>648701</v>
      </c>
      <c r="AJ9" s="609">
        <f t="shared" si="5"/>
        <v>648701</v>
      </c>
      <c r="AL9" s="602">
        <f t="shared" si="6"/>
        <v>0</v>
      </c>
      <c r="AM9" s="610">
        <f t="shared" si="6"/>
        <v>-646880</v>
      </c>
      <c r="AN9" s="611">
        <f t="shared" si="7"/>
        <v>-646880</v>
      </c>
      <c r="AO9" s="612">
        <f t="shared" si="8"/>
        <v>1</v>
      </c>
    </row>
    <row r="10" spans="1:41" x14ac:dyDescent="0.2">
      <c r="A10" s="502">
        <v>93</v>
      </c>
      <c r="B10" s="503">
        <v>0.375</v>
      </c>
      <c r="C10" s="504">
        <v>2013</v>
      </c>
      <c r="D10" s="504">
        <v>3</v>
      </c>
      <c r="E10" s="504">
        <v>8</v>
      </c>
      <c r="F10" s="505">
        <v>1821</v>
      </c>
      <c r="G10" s="504">
        <v>0</v>
      </c>
      <c r="H10" s="505">
        <v>181997</v>
      </c>
      <c r="I10" s="504">
        <v>0</v>
      </c>
      <c r="J10" s="504">
        <v>0</v>
      </c>
      <c r="K10" s="504">
        <v>0</v>
      </c>
      <c r="L10" s="506">
        <v>321.36840000000001</v>
      </c>
      <c r="M10" s="505">
        <v>10.6</v>
      </c>
      <c r="N10" s="507">
        <v>0</v>
      </c>
      <c r="O10" s="508">
        <v>3364</v>
      </c>
      <c r="P10" s="493">
        <f t="shared" si="0"/>
        <v>3364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3364</v>
      </c>
      <c r="W10" s="512">
        <f t="shared" si="10"/>
        <v>118798.54987999999</v>
      </c>
      <c r="X10" s="497"/>
      <c r="Y10" s="513">
        <f t="shared" si="11"/>
        <v>29.200891296239003</v>
      </c>
      <c r="Z10" s="510">
        <f t="shared" si="12"/>
        <v>122.25829167909346</v>
      </c>
      <c r="AA10" s="511">
        <f t="shared" si="13"/>
        <v>115.87817340198394</v>
      </c>
      <c r="AE10" s="598" t="str">
        <f t="shared" si="3"/>
        <v>1821</v>
      </c>
      <c r="AF10" s="502"/>
      <c r="AG10" s="606"/>
      <c r="AH10" s="607"/>
      <c r="AI10" s="608">
        <f t="shared" si="4"/>
        <v>1821</v>
      </c>
      <c r="AJ10" s="609">
        <f t="shared" si="5"/>
        <v>1821</v>
      </c>
      <c r="AL10" s="602">
        <f t="shared" si="6"/>
        <v>0</v>
      </c>
      <c r="AM10" s="610">
        <f t="shared" si="6"/>
        <v>3364</v>
      </c>
      <c r="AN10" s="611">
        <f t="shared" si="7"/>
        <v>3364</v>
      </c>
      <c r="AO10" s="612">
        <f t="shared" si="8"/>
        <v>1</v>
      </c>
    </row>
    <row r="11" spans="1:41" x14ac:dyDescent="0.2">
      <c r="A11" s="502">
        <v>93</v>
      </c>
      <c r="B11" s="503">
        <v>0.375</v>
      </c>
      <c r="C11" s="504">
        <v>2013</v>
      </c>
      <c r="D11" s="504">
        <v>3</v>
      </c>
      <c r="E11" s="504">
        <v>9</v>
      </c>
      <c r="F11" s="505">
        <v>5185</v>
      </c>
      <c r="G11" s="504">
        <v>0</v>
      </c>
      <c r="H11" s="505">
        <v>182138</v>
      </c>
      <c r="I11" s="504">
        <v>0</v>
      </c>
      <c r="J11" s="504">
        <v>0</v>
      </c>
      <c r="K11" s="504">
        <v>0</v>
      </c>
      <c r="L11" s="506">
        <v>323.77170000000001</v>
      </c>
      <c r="M11" s="505">
        <v>11.6</v>
      </c>
      <c r="N11" s="507">
        <v>0</v>
      </c>
      <c r="O11" s="508">
        <v>2122</v>
      </c>
      <c r="P11" s="493">
        <f t="shared" si="0"/>
        <v>2122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2122</v>
      </c>
      <c r="W11" s="515">
        <f t="shared" si="10"/>
        <v>74937.729739999995</v>
      </c>
      <c r="Y11" s="513">
        <f t="shared" si="11"/>
        <v>18.432960506262301</v>
      </c>
      <c r="Z11" s="510">
        <f t="shared" si="12"/>
        <v>77.175119047619006</v>
      </c>
      <c r="AA11" s="511">
        <f t="shared" si="13"/>
        <v>73.147691698427451</v>
      </c>
      <c r="AE11" s="598" t="str">
        <f t="shared" si="3"/>
        <v>5185</v>
      </c>
      <c r="AF11" s="502"/>
      <c r="AG11" s="606"/>
      <c r="AH11" s="607"/>
      <c r="AI11" s="608">
        <f t="shared" si="4"/>
        <v>5185</v>
      </c>
      <c r="AJ11" s="609">
        <f t="shared" si="5"/>
        <v>5185</v>
      </c>
      <c r="AL11" s="602">
        <f t="shared" si="6"/>
        <v>0</v>
      </c>
      <c r="AM11" s="610">
        <f t="shared" si="6"/>
        <v>2122</v>
      </c>
      <c r="AN11" s="611">
        <f t="shared" si="7"/>
        <v>2122</v>
      </c>
      <c r="AO11" s="612">
        <f t="shared" si="8"/>
        <v>1</v>
      </c>
    </row>
    <row r="12" spans="1:41" x14ac:dyDescent="0.2">
      <c r="A12" s="502">
        <v>93</v>
      </c>
      <c r="B12" s="503">
        <v>0.375</v>
      </c>
      <c r="C12" s="504">
        <v>2013</v>
      </c>
      <c r="D12" s="504">
        <v>3</v>
      </c>
      <c r="E12" s="504">
        <v>10</v>
      </c>
      <c r="F12" s="505">
        <v>7307</v>
      </c>
      <c r="G12" s="504">
        <v>0</v>
      </c>
      <c r="H12" s="505">
        <v>182225</v>
      </c>
      <c r="I12" s="504">
        <v>0</v>
      </c>
      <c r="J12" s="504">
        <v>0</v>
      </c>
      <c r="K12" s="504">
        <v>0</v>
      </c>
      <c r="L12" s="506">
        <v>327.94110000000001</v>
      </c>
      <c r="M12" s="505">
        <v>12</v>
      </c>
      <c r="N12" s="507">
        <v>0</v>
      </c>
      <c r="O12" s="508">
        <v>2949</v>
      </c>
      <c r="P12" s="493">
        <f t="shared" si="0"/>
        <v>2949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2949</v>
      </c>
      <c r="W12" s="515">
        <f t="shared" si="10"/>
        <v>104142.96183</v>
      </c>
      <c r="Y12" s="513">
        <f t="shared" si="11"/>
        <v>25.653040288012807</v>
      </c>
      <c r="Z12" s="510">
        <f t="shared" si="12"/>
        <v>107.40414907785203</v>
      </c>
      <c r="AA12" s="511">
        <f t="shared" si="13"/>
        <v>101.79920265534136</v>
      </c>
      <c r="AE12" s="598" t="str">
        <f t="shared" si="3"/>
        <v>7307</v>
      </c>
      <c r="AF12" s="502"/>
      <c r="AG12" s="606"/>
      <c r="AH12" s="607"/>
      <c r="AI12" s="608">
        <f t="shared" si="4"/>
        <v>7307</v>
      </c>
      <c r="AJ12" s="609">
        <f t="shared" si="5"/>
        <v>7307</v>
      </c>
      <c r="AL12" s="602">
        <f t="shared" si="6"/>
        <v>0</v>
      </c>
      <c r="AM12" s="610">
        <f t="shared" si="6"/>
        <v>2949</v>
      </c>
      <c r="AN12" s="611">
        <f t="shared" si="7"/>
        <v>2949</v>
      </c>
      <c r="AO12" s="612">
        <f t="shared" si="8"/>
        <v>1</v>
      </c>
    </row>
    <row r="13" spans="1:41" x14ac:dyDescent="0.2">
      <c r="A13" s="502">
        <v>93</v>
      </c>
      <c r="B13" s="503">
        <v>0.375</v>
      </c>
      <c r="C13" s="504">
        <v>2013</v>
      </c>
      <c r="D13" s="504">
        <v>3</v>
      </c>
      <c r="E13" s="504">
        <v>11</v>
      </c>
      <c r="F13" s="505">
        <v>10256</v>
      </c>
      <c r="G13" s="504">
        <v>0</v>
      </c>
      <c r="H13" s="505">
        <v>182347</v>
      </c>
      <c r="I13" s="504">
        <v>0</v>
      </c>
      <c r="J13" s="504">
        <v>0</v>
      </c>
      <c r="K13" s="504">
        <v>0</v>
      </c>
      <c r="L13" s="506">
        <v>327.14510000000001</v>
      </c>
      <c r="M13" s="505">
        <v>11.9</v>
      </c>
      <c r="N13" s="507">
        <v>0</v>
      </c>
      <c r="O13" s="508">
        <v>3747</v>
      </c>
      <c r="P13" s="493">
        <f t="shared" si="0"/>
        <v>3747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3747</v>
      </c>
      <c r="W13" s="515">
        <f t="shared" si="10"/>
        <v>132324.06849000001</v>
      </c>
      <c r="Y13" s="513">
        <f t="shared" si="11"/>
        <v>32.538308776105239</v>
      </c>
      <c r="Z13" s="510">
        <f t="shared" si="12"/>
        <v>136.23139118379743</v>
      </c>
      <c r="AA13" s="511">
        <f t="shared" si="13"/>
        <v>129.12207878567207</v>
      </c>
      <c r="AE13" s="598" t="str">
        <f t="shared" si="3"/>
        <v>10256</v>
      </c>
      <c r="AF13" s="502"/>
      <c r="AG13" s="606"/>
      <c r="AH13" s="607"/>
      <c r="AI13" s="608">
        <f t="shared" si="4"/>
        <v>10256</v>
      </c>
      <c r="AJ13" s="609">
        <f t="shared" si="5"/>
        <v>10256</v>
      </c>
      <c r="AL13" s="602">
        <f t="shared" si="6"/>
        <v>0</v>
      </c>
      <c r="AM13" s="610">
        <f t="shared" si="6"/>
        <v>3747</v>
      </c>
      <c r="AN13" s="611">
        <f t="shared" si="7"/>
        <v>3747</v>
      </c>
      <c r="AO13" s="612">
        <f t="shared" si="8"/>
        <v>1</v>
      </c>
    </row>
    <row r="14" spans="1:41" x14ac:dyDescent="0.2">
      <c r="A14" s="502">
        <v>93</v>
      </c>
      <c r="B14" s="503">
        <v>0.375</v>
      </c>
      <c r="C14" s="504">
        <v>2013</v>
      </c>
      <c r="D14" s="504">
        <v>3</v>
      </c>
      <c r="E14" s="504">
        <v>12</v>
      </c>
      <c r="F14" s="505">
        <v>14003</v>
      </c>
      <c r="G14" s="504">
        <v>0</v>
      </c>
      <c r="H14" s="505">
        <v>182504</v>
      </c>
      <c r="I14" s="504">
        <v>0</v>
      </c>
      <c r="J14" s="504">
        <v>0</v>
      </c>
      <c r="K14" s="504">
        <v>0</v>
      </c>
      <c r="L14" s="506">
        <v>323.3768</v>
      </c>
      <c r="M14" s="505">
        <v>11.8</v>
      </c>
      <c r="N14" s="507">
        <v>0</v>
      </c>
      <c r="O14" s="508">
        <v>3833</v>
      </c>
      <c r="P14" s="493">
        <f t="shared" si="0"/>
        <v>3833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3833</v>
      </c>
      <c r="W14" s="515">
        <f t="shared" si="10"/>
        <v>135361.13011</v>
      </c>
      <c r="Y14" s="513">
        <f t="shared" si="11"/>
        <v>33.299424597816461</v>
      </c>
      <c r="Z14" s="510">
        <f t="shared" si="12"/>
        <v>139.41803090613794</v>
      </c>
      <c r="AA14" s="511">
        <f t="shared" si="13"/>
        <v>132.14242190713719</v>
      </c>
      <c r="AE14" s="598" t="str">
        <f t="shared" si="3"/>
        <v>14003</v>
      </c>
      <c r="AF14" s="502"/>
      <c r="AG14" s="606"/>
      <c r="AH14" s="607"/>
      <c r="AI14" s="608">
        <f t="shared" si="4"/>
        <v>14003</v>
      </c>
      <c r="AJ14" s="609">
        <f t="shared" si="5"/>
        <v>14003</v>
      </c>
      <c r="AL14" s="602">
        <f t="shared" si="6"/>
        <v>0</v>
      </c>
      <c r="AM14" s="610">
        <f t="shared" si="6"/>
        <v>3833</v>
      </c>
      <c r="AN14" s="611">
        <f t="shared" si="7"/>
        <v>3833</v>
      </c>
      <c r="AO14" s="612">
        <f t="shared" si="8"/>
        <v>1</v>
      </c>
    </row>
    <row r="15" spans="1:41" x14ac:dyDescent="0.2">
      <c r="A15" s="502">
        <v>93</v>
      </c>
      <c r="B15" s="503">
        <v>0.375</v>
      </c>
      <c r="C15" s="504">
        <v>2013</v>
      </c>
      <c r="D15" s="504">
        <v>3</v>
      </c>
      <c r="E15" s="504">
        <v>13</v>
      </c>
      <c r="F15" s="505">
        <v>17836</v>
      </c>
      <c r="G15" s="504">
        <v>0</v>
      </c>
      <c r="H15" s="505">
        <v>182665</v>
      </c>
      <c r="I15" s="504">
        <v>0</v>
      </c>
      <c r="J15" s="504">
        <v>0</v>
      </c>
      <c r="K15" s="504">
        <v>0</v>
      </c>
      <c r="L15" s="506">
        <v>321.6671</v>
      </c>
      <c r="M15" s="505">
        <v>11.7</v>
      </c>
      <c r="N15" s="507">
        <v>0</v>
      </c>
      <c r="O15" s="508">
        <v>4224</v>
      </c>
      <c r="P15" s="493">
        <f t="shared" si="0"/>
        <v>4224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4224</v>
      </c>
      <c r="W15" s="515">
        <f t="shared" si="10"/>
        <v>149169.16608</v>
      </c>
      <c r="Y15" s="513">
        <f t="shared" si="11"/>
        <v>36.609145607959107</v>
      </c>
      <c r="Z15" s="510">
        <f t="shared" si="12"/>
        <v>153.27517083140316</v>
      </c>
      <c r="AA15" s="511">
        <f t="shared" si="13"/>
        <v>145.27641912779379</v>
      </c>
      <c r="AE15" s="598" t="str">
        <f t="shared" si="3"/>
        <v>17836</v>
      </c>
      <c r="AF15" s="502"/>
      <c r="AG15" s="606"/>
      <c r="AH15" s="607"/>
      <c r="AI15" s="608">
        <f t="shared" si="4"/>
        <v>17836</v>
      </c>
      <c r="AJ15" s="609">
        <f t="shared" si="5"/>
        <v>17836</v>
      </c>
      <c r="AL15" s="602">
        <f t="shared" si="6"/>
        <v>0</v>
      </c>
      <c r="AM15" s="610">
        <f t="shared" si="6"/>
        <v>4224</v>
      </c>
      <c r="AN15" s="611">
        <f t="shared" si="7"/>
        <v>4224</v>
      </c>
      <c r="AO15" s="612">
        <f t="shared" si="8"/>
        <v>1</v>
      </c>
    </row>
    <row r="16" spans="1:41" x14ac:dyDescent="0.2">
      <c r="A16" s="502">
        <v>93</v>
      </c>
      <c r="B16" s="503">
        <v>0.375</v>
      </c>
      <c r="C16" s="504">
        <v>2013</v>
      </c>
      <c r="D16" s="504">
        <v>3</v>
      </c>
      <c r="E16" s="504">
        <v>14</v>
      </c>
      <c r="F16" s="505">
        <v>22060</v>
      </c>
      <c r="G16" s="504">
        <v>0</v>
      </c>
      <c r="H16" s="505">
        <v>182843</v>
      </c>
      <c r="I16" s="504">
        <v>0</v>
      </c>
      <c r="J16" s="504">
        <v>0</v>
      </c>
      <c r="K16" s="504">
        <v>0</v>
      </c>
      <c r="L16" s="506">
        <v>320.85809999999998</v>
      </c>
      <c r="M16" s="505">
        <v>10.7</v>
      </c>
      <c r="N16" s="507">
        <v>0</v>
      </c>
      <c r="O16" s="508">
        <v>3949</v>
      </c>
      <c r="P16" s="493">
        <f t="shared" si="0"/>
        <v>3949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3949</v>
      </c>
      <c r="W16" s="515">
        <f t="shared" si="10"/>
        <v>139457.63183</v>
      </c>
      <c r="Y16" s="513">
        <f t="shared" si="11"/>
        <v>34.137109668428799</v>
      </c>
      <c r="Z16" s="510">
        <f t="shared" si="12"/>
        <v>142.92525075977773</v>
      </c>
      <c r="AA16" s="511">
        <f t="shared" si="13"/>
        <v>135.46661550396664</v>
      </c>
      <c r="AE16" s="598" t="str">
        <f t="shared" si="3"/>
        <v>22060</v>
      </c>
      <c r="AF16" s="502"/>
      <c r="AG16" s="606"/>
      <c r="AH16" s="607"/>
      <c r="AI16" s="608">
        <f t="shared" si="4"/>
        <v>22060</v>
      </c>
      <c r="AJ16" s="609">
        <f t="shared" si="5"/>
        <v>22060</v>
      </c>
      <c r="AL16" s="602">
        <f t="shared" si="6"/>
        <v>0</v>
      </c>
      <c r="AM16" s="610">
        <f t="shared" si="6"/>
        <v>3949</v>
      </c>
      <c r="AN16" s="611">
        <f t="shared" si="7"/>
        <v>3949</v>
      </c>
      <c r="AO16" s="612">
        <f t="shared" si="8"/>
        <v>1</v>
      </c>
    </row>
    <row r="17" spans="1:41" x14ac:dyDescent="0.2">
      <c r="A17" s="502">
        <v>93</v>
      </c>
      <c r="B17" s="503">
        <v>0.375</v>
      </c>
      <c r="C17" s="504">
        <v>2013</v>
      </c>
      <c r="D17" s="504">
        <v>3</v>
      </c>
      <c r="E17" s="504">
        <v>15</v>
      </c>
      <c r="F17" s="505">
        <v>26009</v>
      </c>
      <c r="G17" s="504">
        <v>0</v>
      </c>
      <c r="H17" s="505">
        <v>183008</v>
      </c>
      <c r="I17" s="504">
        <v>0</v>
      </c>
      <c r="J17" s="504">
        <v>0</v>
      </c>
      <c r="K17" s="504">
        <v>0</v>
      </c>
      <c r="L17" s="506">
        <v>321.54149999999998</v>
      </c>
      <c r="M17" s="505">
        <v>10.5</v>
      </c>
      <c r="N17" s="507">
        <v>0</v>
      </c>
      <c r="O17" s="508">
        <v>3126</v>
      </c>
      <c r="P17" s="493">
        <f t="shared" si="0"/>
        <v>3126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3126</v>
      </c>
      <c r="W17" s="515">
        <f t="shared" si="10"/>
        <v>110393.65841999999</v>
      </c>
      <c r="Y17" s="513">
        <f t="shared" si="11"/>
        <v>27.361513533281293</v>
      </c>
      <c r="Z17" s="510">
        <f t="shared" si="12"/>
        <v>114.55718486114213</v>
      </c>
      <c r="AA17" s="511">
        <f t="shared" si="13"/>
        <v>108.57895321019413</v>
      </c>
      <c r="AE17" s="598" t="str">
        <f t="shared" si="3"/>
        <v>26009</v>
      </c>
      <c r="AF17" s="502"/>
      <c r="AG17" s="606"/>
      <c r="AH17" s="607"/>
      <c r="AI17" s="608">
        <f t="shared" si="4"/>
        <v>26009</v>
      </c>
      <c r="AJ17" s="609">
        <f t="shared" si="5"/>
        <v>26009</v>
      </c>
      <c r="AL17" s="602">
        <f t="shared" si="6"/>
        <v>0</v>
      </c>
      <c r="AM17" s="610">
        <f t="shared" si="6"/>
        <v>3126</v>
      </c>
      <c r="AN17" s="611">
        <f t="shared" si="7"/>
        <v>3126</v>
      </c>
      <c r="AO17" s="612">
        <f t="shared" si="8"/>
        <v>1</v>
      </c>
    </row>
    <row r="18" spans="1:41" x14ac:dyDescent="0.2">
      <c r="A18" s="502">
        <v>93</v>
      </c>
      <c r="B18" s="503">
        <v>0.375</v>
      </c>
      <c r="C18" s="504">
        <v>2013</v>
      </c>
      <c r="D18" s="504">
        <v>3</v>
      </c>
      <c r="E18" s="504">
        <v>16</v>
      </c>
      <c r="F18" s="505">
        <v>29135</v>
      </c>
      <c r="G18" s="504">
        <v>0</v>
      </c>
      <c r="H18" s="505">
        <v>183139</v>
      </c>
      <c r="I18" s="504">
        <v>0</v>
      </c>
      <c r="J18" s="504">
        <v>0</v>
      </c>
      <c r="K18" s="504">
        <v>0</v>
      </c>
      <c r="L18" s="506">
        <v>321.22930000000002</v>
      </c>
      <c r="M18" s="505">
        <v>9.5</v>
      </c>
      <c r="N18" s="507">
        <v>0</v>
      </c>
      <c r="O18" s="508">
        <v>1608</v>
      </c>
      <c r="P18" s="493">
        <f t="shared" si="0"/>
        <v>1608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1608</v>
      </c>
      <c r="W18" s="515">
        <f t="shared" si="10"/>
        <v>56785.98936</v>
      </c>
      <c r="Y18" s="513">
        <f t="shared" si="11"/>
        <v>14.074636519998823</v>
      </c>
      <c r="Z18" s="510">
        <f t="shared" si="12"/>
        <v>58.927688181931074</v>
      </c>
      <c r="AA18" s="511">
        <f t="shared" si="13"/>
        <v>55.852513359562437</v>
      </c>
      <c r="AE18" s="598" t="str">
        <f t="shared" si="3"/>
        <v>29135</v>
      </c>
      <c r="AF18" s="502"/>
      <c r="AG18" s="606"/>
      <c r="AH18" s="607"/>
      <c r="AI18" s="608">
        <f t="shared" si="4"/>
        <v>29135</v>
      </c>
      <c r="AJ18" s="609">
        <f t="shared" si="5"/>
        <v>29135</v>
      </c>
      <c r="AL18" s="602">
        <f t="shared" si="6"/>
        <v>0</v>
      </c>
      <c r="AM18" s="610">
        <f t="shared" si="6"/>
        <v>1608</v>
      </c>
      <c r="AN18" s="611">
        <f t="shared" si="7"/>
        <v>1608</v>
      </c>
      <c r="AO18" s="612">
        <f t="shared" si="8"/>
        <v>1</v>
      </c>
    </row>
    <row r="19" spans="1:41" x14ac:dyDescent="0.2">
      <c r="A19" s="502">
        <v>93</v>
      </c>
      <c r="B19" s="503">
        <v>0.375</v>
      </c>
      <c r="C19" s="504">
        <v>2013</v>
      </c>
      <c r="D19" s="504">
        <v>3</v>
      </c>
      <c r="E19" s="504">
        <v>17</v>
      </c>
      <c r="F19" s="505">
        <v>30743</v>
      </c>
      <c r="G19" s="504">
        <v>0</v>
      </c>
      <c r="H19" s="505">
        <v>183205</v>
      </c>
      <c r="I19" s="504">
        <v>0</v>
      </c>
      <c r="J19" s="504">
        <v>0</v>
      </c>
      <c r="K19" s="504">
        <v>0</v>
      </c>
      <c r="L19" s="506">
        <v>327.38380000000001</v>
      </c>
      <c r="M19" s="505">
        <v>8</v>
      </c>
      <c r="N19" s="507">
        <v>0</v>
      </c>
      <c r="O19" s="508">
        <v>903</v>
      </c>
      <c r="P19" s="493">
        <f t="shared" si="0"/>
        <v>903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903</v>
      </c>
      <c r="W19" s="515">
        <f t="shared" si="10"/>
        <v>31889.147010000001</v>
      </c>
      <c r="Y19" s="513">
        <f t="shared" si="11"/>
        <v>7.9038537173873991</v>
      </c>
      <c r="Z19" s="510">
        <f t="shared" si="12"/>
        <v>33.091854743957562</v>
      </c>
      <c r="AA19" s="511">
        <f t="shared" si="13"/>
        <v>31.364937539605027</v>
      </c>
      <c r="AE19" s="598" t="str">
        <f t="shared" si="3"/>
        <v>30743</v>
      </c>
      <c r="AF19" s="502"/>
      <c r="AG19" s="606"/>
      <c r="AH19" s="607"/>
      <c r="AI19" s="608">
        <f t="shared" si="4"/>
        <v>30743</v>
      </c>
      <c r="AJ19" s="609">
        <f t="shared" si="5"/>
        <v>30743</v>
      </c>
      <c r="AL19" s="602">
        <f t="shared" si="6"/>
        <v>0</v>
      </c>
      <c r="AM19" s="610">
        <f t="shared" si="6"/>
        <v>903</v>
      </c>
      <c r="AN19" s="611">
        <f t="shared" si="7"/>
        <v>903</v>
      </c>
      <c r="AO19" s="612">
        <f t="shared" si="8"/>
        <v>1</v>
      </c>
    </row>
    <row r="20" spans="1:41" x14ac:dyDescent="0.2">
      <c r="A20" s="502">
        <v>93</v>
      </c>
      <c r="B20" s="503">
        <v>0.375</v>
      </c>
      <c r="C20" s="504">
        <v>2013</v>
      </c>
      <c r="D20" s="504">
        <v>3</v>
      </c>
      <c r="E20" s="504">
        <v>18</v>
      </c>
      <c r="F20" s="505">
        <v>31646</v>
      </c>
      <c r="G20" s="504">
        <v>0</v>
      </c>
      <c r="H20" s="505">
        <v>183242</v>
      </c>
      <c r="I20" s="504">
        <v>0</v>
      </c>
      <c r="J20" s="504">
        <v>0</v>
      </c>
      <c r="K20" s="504">
        <v>0</v>
      </c>
      <c r="L20" s="506">
        <v>327.8777</v>
      </c>
      <c r="M20" s="505">
        <v>10.9</v>
      </c>
      <c r="N20" s="507">
        <v>0</v>
      </c>
      <c r="O20" s="508">
        <v>2730</v>
      </c>
      <c r="P20" s="493">
        <f t="shared" si="0"/>
        <v>2730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2730</v>
      </c>
      <c r="W20" s="515">
        <f t="shared" si="10"/>
        <v>96409.049100000004</v>
      </c>
      <c r="Y20" s="513">
        <f t="shared" si="11"/>
        <v>23.895371703729346</v>
      </c>
      <c r="Z20" s="510">
        <f t="shared" si="12"/>
        <v>100.04514224917403</v>
      </c>
      <c r="AA20" s="511">
        <f t="shared" si="13"/>
        <v>94.82422977089891</v>
      </c>
      <c r="AE20" s="598" t="str">
        <f t="shared" si="3"/>
        <v>31646</v>
      </c>
      <c r="AF20" s="502"/>
      <c r="AG20" s="606"/>
      <c r="AH20" s="607"/>
      <c r="AI20" s="608">
        <f t="shared" si="4"/>
        <v>31646</v>
      </c>
      <c r="AJ20" s="609">
        <f t="shared" si="5"/>
        <v>31646</v>
      </c>
      <c r="AL20" s="602">
        <f t="shared" si="6"/>
        <v>0</v>
      </c>
      <c r="AM20" s="610">
        <f t="shared" si="6"/>
        <v>2730</v>
      </c>
      <c r="AN20" s="611">
        <f t="shared" si="7"/>
        <v>2730</v>
      </c>
      <c r="AO20" s="612">
        <f t="shared" si="8"/>
        <v>1</v>
      </c>
    </row>
    <row r="21" spans="1:41" x14ac:dyDescent="0.2">
      <c r="A21" s="502">
        <v>93</v>
      </c>
      <c r="B21" s="503">
        <v>0.375</v>
      </c>
      <c r="C21" s="504">
        <v>2013</v>
      </c>
      <c r="D21" s="504">
        <v>3</v>
      </c>
      <c r="E21" s="504">
        <v>19</v>
      </c>
      <c r="F21" s="505">
        <v>34376</v>
      </c>
      <c r="G21" s="504">
        <v>0</v>
      </c>
      <c r="H21" s="505">
        <v>183355</v>
      </c>
      <c r="I21" s="504">
        <v>0</v>
      </c>
      <c r="J21" s="504">
        <v>0</v>
      </c>
      <c r="K21" s="504">
        <v>0</v>
      </c>
      <c r="L21" s="506">
        <v>326.92</v>
      </c>
      <c r="M21" s="505">
        <v>11.3</v>
      </c>
      <c r="N21" s="507">
        <v>0</v>
      </c>
      <c r="O21" s="508">
        <v>3719</v>
      </c>
      <c r="P21" s="493">
        <f t="shared" si="0"/>
        <v>3719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3719</v>
      </c>
      <c r="W21" s="515">
        <f t="shared" si="10"/>
        <v>131335.25773000001</v>
      </c>
      <c r="Y21" s="513">
        <f t="shared" si="11"/>
        <v>32.551973394201262</v>
      </c>
      <c r="Z21" s="510">
        <f t="shared" si="12"/>
        <v>136.28860220684183</v>
      </c>
      <c r="AA21" s="511">
        <f t="shared" si="13"/>
        <v>129.17630421903775</v>
      </c>
      <c r="AE21" s="598" t="str">
        <f t="shared" si="3"/>
        <v>34376</v>
      </c>
      <c r="AF21" s="502"/>
      <c r="AG21" s="606"/>
      <c r="AH21" s="607"/>
      <c r="AI21" s="608">
        <f t="shared" si="4"/>
        <v>34376</v>
      </c>
      <c r="AJ21" s="609">
        <f t="shared" si="5"/>
        <v>34376</v>
      </c>
      <c r="AL21" s="602">
        <f t="shared" si="6"/>
        <v>57949</v>
      </c>
      <c r="AM21" s="610">
        <f t="shared" si="6"/>
        <v>3719</v>
      </c>
      <c r="AN21" s="611">
        <f t="shared" si="7"/>
        <v>-54230</v>
      </c>
      <c r="AO21" s="612">
        <f t="shared" si="8"/>
        <v>-14.581876848615218</v>
      </c>
    </row>
    <row r="22" spans="1:41" x14ac:dyDescent="0.2">
      <c r="A22" s="502">
        <v>93</v>
      </c>
      <c r="B22" s="503">
        <v>0.375</v>
      </c>
      <c r="C22" s="504">
        <v>2013</v>
      </c>
      <c r="D22" s="504">
        <v>3</v>
      </c>
      <c r="E22" s="504">
        <v>20</v>
      </c>
      <c r="F22" s="505">
        <v>38095</v>
      </c>
      <c r="G22" s="504">
        <v>0</v>
      </c>
      <c r="H22" s="505">
        <v>183511</v>
      </c>
      <c r="I22" s="504">
        <v>0</v>
      </c>
      <c r="J22" s="504">
        <v>0</v>
      </c>
      <c r="K22" s="504">
        <v>0</v>
      </c>
      <c r="L22" s="506">
        <v>322.0754</v>
      </c>
      <c r="M22" s="505">
        <v>12.2</v>
      </c>
      <c r="N22" s="507">
        <v>0</v>
      </c>
      <c r="O22" s="508">
        <v>3575</v>
      </c>
      <c r="P22" s="493">
        <f t="shared" si="0"/>
        <v>3575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3575</v>
      </c>
      <c r="W22" s="515">
        <f t="shared" si="10"/>
        <v>126249.94525</v>
      </c>
      <c r="Y22" s="513">
        <f t="shared" si="11"/>
        <v>31.291558183455095</v>
      </c>
      <c r="Z22" s="510">
        <f t="shared" si="12"/>
        <v>131.01149580248978</v>
      </c>
      <c r="AA22" s="511">
        <f t="shared" si="13"/>
        <v>124.17458660474858</v>
      </c>
      <c r="AE22" s="598" t="str">
        <f t="shared" si="3"/>
        <v>38095</v>
      </c>
      <c r="AF22" s="502">
        <v>93</v>
      </c>
      <c r="AG22" s="606">
        <v>1</v>
      </c>
      <c r="AH22" s="607">
        <v>57949</v>
      </c>
      <c r="AI22" s="608">
        <f t="shared" si="4"/>
        <v>38095</v>
      </c>
      <c r="AJ22" s="609">
        <f t="shared" si="5"/>
        <v>-19854</v>
      </c>
      <c r="AL22" s="602">
        <f t="shared" si="6"/>
        <v>-57949</v>
      </c>
      <c r="AM22" s="610">
        <f t="shared" si="6"/>
        <v>3575</v>
      </c>
      <c r="AN22" s="611">
        <f t="shared" si="7"/>
        <v>61524</v>
      </c>
      <c r="AO22" s="612">
        <f t="shared" si="8"/>
        <v>17.209510489510489</v>
      </c>
    </row>
    <row r="23" spans="1:41" x14ac:dyDescent="0.2">
      <c r="A23" s="502">
        <v>93</v>
      </c>
      <c r="B23" s="503">
        <v>0.375</v>
      </c>
      <c r="C23" s="504">
        <v>2013</v>
      </c>
      <c r="D23" s="504">
        <v>3</v>
      </c>
      <c r="E23" s="504">
        <v>21</v>
      </c>
      <c r="F23" s="505">
        <v>41670</v>
      </c>
      <c r="G23" s="504">
        <v>0</v>
      </c>
      <c r="H23" s="505">
        <v>183662</v>
      </c>
      <c r="I23" s="504">
        <v>0</v>
      </c>
      <c r="J23" s="504">
        <v>0</v>
      </c>
      <c r="K23" s="504">
        <v>0</v>
      </c>
      <c r="L23" s="506">
        <v>321.36180000000002</v>
      </c>
      <c r="M23" s="505">
        <v>11.7</v>
      </c>
      <c r="N23" s="507">
        <v>0</v>
      </c>
      <c r="O23" s="508">
        <v>4314</v>
      </c>
      <c r="P23" s="493">
        <f t="shared" si="0"/>
        <v>4314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4314</v>
      </c>
      <c r="W23" s="515">
        <f t="shared" si="10"/>
        <v>152347.48637999999</v>
      </c>
      <c r="Y23" s="513">
        <f t="shared" si="11"/>
        <v>37.759939021937136</v>
      </c>
      <c r="Z23" s="510">
        <f t="shared" si="12"/>
        <v>158.09331269704643</v>
      </c>
      <c r="AA23" s="511">
        <f t="shared" si="13"/>
        <v>149.84312352807981</v>
      </c>
      <c r="AE23" s="598" t="str">
        <f t="shared" si="3"/>
        <v>41670</v>
      </c>
      <c r="AF23" s="502"/>
      <c r="AG23" s="606"/>
      <c r="AH23" s="607"/>
      <c r="AI23" s="608">
        <f t="shared" si="4"/>
        <v>41670</v>
      </c>
      <c r="AJ23" s="609">
        <f t="shared" si="5"/>
        <v>41670</v>
      </c>
      <c r="AL23" s="602">
        <f t="shared" si="6"/>
        <v>0</v>
      </c>
      <c r="AM23" s="610">
        <f t="shared" si="6"/>
        <v>4314</v>
      </c>
      <c r="AN23" s="611">
        <f t="shared" si="7"/>
        <v>4314</v>
      </c>
      <c r="AO23" s="612">
        <f t="shared" si="8"/>
        <v>1</v>
      </c>
    </row>
    <row r="24" spans="1:41" x14ac:dyDescent="0.2">
      <c r="A24" s="502">
        <v>93</v>
      </c>
      <c r="B24" s="503">
        <v>0.375</v>
      </c>
      <c r="C24" s="504">
        <v>2013</v>
      </c>
      <c r="D24" s="504">
        <v>3</v>
      </c>
      <c r="E24" s="504">
        <v>22</v>
      </c>
      <c r="F24" s="505">
        <v>45984</v>
      </c>
      <c r="G24" s="504">
        <v>0</v>
      </c>
      <c r="H24" s="505">
        <v>183845</v>
      </c>
      <c r="I24" s="504">
        <v>0</v>
      </c>
      <c r="J24" s="504">
        <v>0</v>
      </c>
      <c r="K24" s="504">
        <v>0</v>
      </c>
      <c r="L24" s="506">
        <v>320.43669999999997</v>
      </c>
      <c r="M24" s="505">
        <v>12.1</v>
      </c>
      <c r="N24" s="507">
        <v>0</v>
      </c>
      <c r="O24" s="508">
        <v>3191</v>
      </c>
      <c r="P24" s="493">
        <f t="shared" si="0"/>
        <v>3191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3191</v>
      </c>
      <c r="W24" s="515">
        <f t="shared" si="10"/>
        <v>112689.11197</v>
      </c>
      <c r="Y24" s="513">
        <f t="shared" si="11"/>
        <v>27.930450954798662</v>
      </c>
      <c r="Z24" s="510">
        <f t="shared" si="12"/>
        <v>116.93921205755103</v>
      </c>
      <c r="AA24" s="511">
        <f t="shared" si="13"/>
        <v>110.8366729666441</v>
      </c>
      <c r="AE24" s="598" t="str">
        <f t="shared" si="3"/>
        <v>45984</v>
      </c>
      <c r="AF24" s="502"/>
      <c r="AG24" s="606"/>
      <c r="AH24" s="607"/>
      <c r="AI24" s="608">
        <f t="shared" si="4"/>
        <v>45984</v>
      </c>
      <c r="AJ24" s="609">
        <f t="shared" si="5"/>
        <v>45984</v>
      </c>
      <c r="AL24" s="602">
        <f t="shared" si="6"/>
        <v>49174</v>
      </c>
      <c r="AM24" s="610">
        <f t="shared" si="6"/>
        <v>3191</v>
      </c>
      <c r="AN24" s="611">
        <f t="shared" si="7"/>
        <v>-45983</v>
      </c>
      <c r="AO24" s="612">
        <f t="shared" si="8"/>
        <v>-14.410216233155751</v>
      </c>
    </row>
    <row r="25" spans="1:41" x14ac:dyDescent="0.2">
      <c r="A25" s="502">
        <v>93</v>
      </c>
      <c r="B25" s="503">
        <v>0.375</v>
      </c>
      <c r="C25" s="504">
        <v>2013</v>
      </c>
      <c r="D25" s="504">
        <v>3</v>
      </c>
      <c r="E25" s="504">
        <v>23</v>
      </c>
      <c r="F25" s="505">
        <v>49175</v>
      </c>
      <c r="G25" s="504">
        <v>0</v>
      </c>
      <c r="H25" s="505">
        <v>183980</v>
      </c>
      <c r="I25" s="504">
        <v>0</v>
      </c>
      <c r="J25" s="504">
        <v>0</v>
      </c>
      <c r="K25" s="504">
        <v>0</v>
      </c>
      <c r="L25" s="506">
        <v>321.19560000000001</v>
      </c>
      <c r="M25" s="505">
        <v>12.1</v>
      </c>
      <c r="N25" s="507">
        <v>0</v>
      </c>
      <c r="O25" s="508">
        <v>897</v>
      </c>
      <c r="P25" s="493">
        <f t="shared" si="0"/>
        <v>897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897</v>
      </c>
      <c r="W25" s="515">
        <f t="shared" si="10"/>
        <v>31677.258989999998</v>
      </c>
      <c r="Y25" s="513">
        <f t="shared" si="11"/>
        <v>7.8513364169396427</v>
      </c>
      <c r="Z25" s="510">
        <f t="shared" si="12"/>
        <v>32.871975310442892</v>
      </c>
      <c r="AA25" s="511">
        <f t="shared" si="13"/>
        <v>31.15653263900964</v>
      </c>
      <c r="AE25" s="598" t="str">
        <f t="shared" si="3"/>
        <v>49175</v>
      </c>
      <c r="AF25" s="502">
        <v>93</v>
      </c>
      <c r="AG25" s="606">
        <v>23</v>
      </c>
      <c r="AH25" s="607">
        <v>49174</v>
      </c>
      <c r="AI25" s="608">
        <f t="shared" si="4"/>
        <v>49175</v>
      </c>
      <c r="AJ25" s="609">
        <f t="shared" si="5"/>
        <v>1</v>
      </c>
      <c r="AL25" s="602">
        <f t="shared" si="6"/>
        <v>898</v>
      </c>
      <c r="AM25" s="610">
        <f t="shared" si="6"/>
        <v>897</v>
      </c>
      <c r="AN25" s="611">
        <f t="shared" si="7"/>
        <v>-1</v>
      </c>
      <c r="AO25" s="612">
        <f t="shared" si="8"/>
        <v>-1.1148272017837235E-3</v>
      </c>
    </row>
    <row r="26" spans="1:41" x14ac:dyDescent="0.2">
      <c r="A26" s="502">
        <v>93</v>
      </c>
      <c r="B26" s="503">
        <v>0.375</v>
      </c>
      <c r="C26" s="504">
        <v>2013</v>
      </c>
      <c r="D26" s="504">
        <v>3</v>
      </c>
      <c r="E26" s="504">
        <v>24</v>
      </c>
      <c r="F26" s="505">
        <v>50072</v>
      </c>
      <c r="G26" s="504">
        <v>0</v>
      </c>
      <c r="H26" s="505">
        <v>184018</v>
      </c>
      <c r="I26" s="504">
        <v>0</v>
      </c>
      <c r="J26" s="504">
        <v>0</v>
      </c>
      <c r="K26" s="504">
        <v>0</v>
      </c>
      <c r="L26" s="506">
        <v>324.57709999999997</v>
      </c>
      <c r="M26" s="505">
        <v>13.3</v>
      </c>
      <c r="N26" s="507">
        <v>0</v>
      </c>
      <c r="O26" s="508">
        <v>764</v>
      </c>
      <c r="P26" s="493">
        <f t="shared" si="0"/>
        <v>764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764</v>
      </c>
      <c r="W26" s="515">
        <f t="shared" si="10"/>
        <v>26980.407879999999</v>
      </c>
      <c r="Y26" s="513">
        <f t="shared" si="11"/>
        <v>6.6872029236810331</v>
      </c>
      <c r="Z26" s="510">
        <f t="shared" si="12"/>
        <v>27.997981200867748</v>
      </c>
      <c r="AA26" s="511">
        <f t="shared" si="13"/>
        <v>26.536890675812003</v>
      </c>
      <c r="AE26" s="598" t="str">
        <f t="shared" si="3"/>
        <v>50072</v>
      </c>
      <c r="AF26" s="502">
        <v>93</v>
      </c>
      <c r="AG26" s="606">
        <v>24</v>
      </c>
      <c r="AH26" s="607">
        <v>50072</v>
      </c>
      <c r="AI26" s="608">
        <f t="shared" si="4"/>
        <v>50072</v>
      </c>
      <c r="AJ26" s="609">
        <f t="shared" si="5"/>
        <v>0</v>
      </c>
      <c r="AL26" s="602">
        <f t="shared" si="6"/>
        <v>762</v>
      </c>
      <c r="AM26" s="610">
        <f t="shared" si="6"/>
        <v>764</v>
      </c>
      <c r="AN26" s="611">
        <f t="shared" si="7"/>
        <v>2</v>
      </c>
      <c r="AO26" s="612">
        <f t="shared" si="8"/>
        <v>2.617801047120419E-3</v>
      </c>
    </row>
    <row r="27" spans="1:41" x14ac:dyDescent="0.2">
      <c r="A27" s="502">
        <v>93</v>
      </c>
      <c r="B27" s="503">
        <v>0.375</v>
      </c>
      <c r="C27" s="504">
        <v>2013</v>
      </c>
      <c r="D27" s="504">
        <v>3</v>
      </c>
      <c r="E27" s="504">
        <v>25</v>
      </c>
      <c r="F27" s="505">
        <v>50836</v>
      </c>
      <c r="G27" s="504">
        <v>0</v>
      </c>
      <c r="H27" s="505">
        <v>184050</v>
      </c>
      <c r="I27" s="504">
        <v>0</v>
      </c>
      <c r="J27" s="504">
        <v>0</v>
      </c>
      <c r="K27" s="504">
        <v>0</v>
      </c>
      <c r="L27" s="506">
        <v>324.8965</v>
      </c>
      <c r="M27" s="505">
        <v>13.5</v>
      </c>
      <c r="N27" s="507">
        <v>0</v>
      </c>
      <c r="O27" s="508">
        <v>3053</v>
      </c>
      <c r="P27" s="493">
        <f t="shared" si="0"/>
        <v>3053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3053</v>
      </c>
      <c r="W27" s="515">
        <f t="shared" si="10"/>
        <v>107815.68751</v>
      </c>
      <c r="Y27" s="513">
        <f t="shared" si="11"/>
        <v>26.722553044500255</v>
      </c>
      <c r="Z27" s="510">
        <f t="shared" si="12"/>
        <v>111.88198508671366</v>
      </c>
      <c r="AA27" s="511">
        <f t="shared" si="13"/>
        <v>106.04336025295032</v>
      </c>
      <c r="AE27" s="598" t="str">
        <f t="shared" si="3"/>
        <v>50836</v>
      </c>
      <c r="AF27" s="502">
        <v>93</v>
      </c>
      <c r="AG27" s="606">
        <v>25</v>
      </c>
      <c r="AH27" s="607">
        <v>50834</v>
      </c>
      <c r="AI27" s="608">
        <f t="shared" si="4"/>
        <v>50836</v>
      </c>
      <c r="AJ27" s="609">
        <f t="shared" si="5"/>
        <v>2</v>
      </c>
      <c r="AL27" s="602">
        <f t="shared" si="6"/>
        <v>3054</v>
      </c>
      <c r="AM27" s="610">
        <f t="shared" si="6"/>
        <v>3053</v>
      </c>
      <c r="AN27" s="611">
        <f t="shared" si="7"/>
        <v>-1</v>
      </c>
      <c r="AO27" s="612">
        <f t="shared" si="8"/>
        <v>-3.2754667540124465E-4</v>
      </c>
    </row>
    <row r="28" spans="1:41" x14ac:dyDescent="0.2">
      <c r="A28" s="502">
        <v>93</v>
      </c>
      <c r="B28" s="503">
        <v>0.375</v>
      </c>
      <c r="C28" s="504">
        <v>2013</v>
      </c>
      <c r="D28" s="504">
        <v>3</v>
      </c>
      <c r="E28" s="504">
        <v>26</v>
      </c>
      <c r="F28" s="505">
        <v>53889</v>
      </c>
      <c r="G28" s="504">
        <v>0</v>
      </c>
      <c r="H28" s="505">
        <v>184178</v>
      </c>
      <c r="I28" s="504">
        <v>0</v>
      </c>
      <c r="J28" s="504">
        <v>0</v>
      </c>
      <c r="K28" s="504">
        <v>0</v>
      </c>
      <c r="L28" s="506">
        <v>320.65769999999998</v>
      </c>
      <c r="M28" s="505">
        <v>11.7</v>
      </c>
      <c r="N28" s="507">
        <v>0</v>
      </c>
      <c r="O28" s="508">
        <v>2956</v>
      </c>
      <c r="P28" s="493">
        <f t="shared" si="0"/>
        <v>2956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2956</v>
      </c>
      <c r="W28" s="515">
        <f t="shared" si="10"/>
        <v>104390.16452000001</v>
      </c>
      <c r="Y28" s="513">
        <f t="shared" si="11"/>
        <v>25.873523353928185</v>
      </c>
      <c r="Z28" s="510">
        <f t="shared" si="12"/>
        <v>108.32726757822653</v>
      </c>
      <c r="AA28" s="511">
        <f t="shared" si="13"/>
        <v>102.67414769332498</v>
      </c>
      <c r="AE28" s="598" t="str">
        <f t="shared" si="3"/>
        <v>53889</v>
      </c>
      <c r="AF28" s="502">
        <v>93</v>
      </c>
      <c r="AG28" s="606">
        <v>26</v>
      </c>
      <c r="AH28" s="607">
        <v>53888</v>
      </c>
      <c r="AI28" s="608">
        <f t="shared" si="4"/>
        <v>53889</v>
      </c>
      <c r="AJ28" s="609">
        <f t="shared" si="5"/>
        <v>1</v>
      </c>
      <c r="AL28" s="602">
        <f t="shared" si="6"/>
        <v>2954</v>
      </c>
      <c r="AM28" s="610">
        <f t="shared" si="6"/>
        <v>2956</v>
      </c>
      <c r="AN28" s="611">
        <f t="shared" si="7"/>
        <v>2</v>
      </c>
      <c r="AO28" s="612">
        <f t="shared" si="8"/>
        <v>6.7658998646820032E-4</v>
      </c>
    </row>
    <row r="29" spans="1:41" x14ac:dyDescent="0.2">
      <c r="A29" s="502">
        <v>93</v>
      </c>
      <c r="B29" s="503">
        <v>0.375</v>
      </c>
      <c r="C29" s="504">
        <v>2013</v>
      </c>
      <c r="D29" s="504">
        <v>3</v>
      </c>
      <c r="E29" s="504">
        <v>27</v>
      </c>
      <c r="F29" s="505">
        <v>56845</v>
      </c>
      <c r="G29" s="504">
        <v>0</v>
      </c>
      <c r="H29" s="505">
        <v>184303</v>
      </c>
      <c r="I29" s="504">
        <v>0</v>
      </c>
      <c r="J29" s="504">
        <v>0</v>
      </c>
      <c r="K29" s="504">
        <v>0</v>
      </c>
      <c r="L29" s="506">
        <v>320.79340000000002</v>
      </c>
      <c r="M29" s="505">
        <v>10.7</v>
      </c>
      <c r="N29" s="507">
        <v>0</v>
      </c>
      <c r="O29" s="508">
        <v>632</v>
      </c>
      <c r="P29" s="493">
        <f t="shared" si="0"/>
        <v>632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632</v>
      </c>
      <c r="W29" s="515">
        <f t="shared" si="10"/>
        <v>22318.871439999999</v>
      </c>
      <c r="Y29" s="513">
        <f t="shared" si="11"/>
        <v>5.531822313830383</v>
      </c>
      <c r="Z29" s="510">
        <f t="shared" si="12"/>
        <v>23.160633663545049</v>
      </c>
      <c r="AA29" s="511">
        <f t="shared" si="13"/>
        <v>21.951982862713592</v>
      </c>
      <c r="AE29" s="598" t="str">
        <f t="shared" si="3"/>
        <v>56845</v>
      </c>
      <c r="AF29" s="502">
        <v>93</v>
      </c>
      <c r="AG29" s="606">
        <v>27</v>
      </c>
      <c r="AH29" s="607">
        <v>56842</v>
      </c>
      <c r="AI29" s="608">
        <f t="shared" si="4"/>
        <v>56845</v>
      </c>
      <c r="AJ29" s="609">
        <f t="shared" si="5"/>
        <v>3</v>
      </c>
      <c r="AL29" s="602">
        <f t="shared" si="6"/>
        <v>635</v>
      </c>
      <c r="AM29" s="610">
        <f t="shared" si="6"/>
        <v>632</v>
      </c>
      <c r="AN29" s="611">
        <f t="shared" si="7"/>
        <v>-3</v>
      </c>
      <c r="AO29" s="612">
        <f t="shared" si="8"/>
        <v>-4.7468354430379748E-3</v>
      </c>
    </row>
    <row r="30" spans="1:41" x14ac:dyDescent="0.2">
      <c r="A30" s="502">
        <v>93</v>
      </c>
      <c r="B30" s="503">
        <v>0.375</v>
      </c>
      <c r="C30" s="504">
        <v>2013</v>
      </c>
      <c r="D30" s="504">
        <v>3</v>
      </c>
      <c r="E30" s="504">
        <v>28</v>
      </c>
      <c r="F30" s="505">
        <v>57477</v>
      </c>
      <c r="G30" s="504">
        <v>0</v>
      </c>
      <c r="H30" s="505">
        <v>184330</v>
      </c>
      <c r="I30" s="504">
        <v>0</v>
      </c>
      <c r="J30" s="504">
        <v>0</v>
      </c>
      <c r="K30" s="504">
        <v>0</v>
      </c>
      <c r="L30" s="506">
        <v>323.33819999999997</v>
      </c>
      <c r="M30" s="505">
        <v>15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57477</v>
      </c>
      <c r="AF30" s="502">
        <v>93</v>
      </c>
      <c r="AG30" s="606">
        <v>28</v>
      </c>
      <c r="AH30" s="607">
        <v>57477</v>
      </c>
      <c r="AI30" s="608">
        <f t="shared" si="4"/>
        <v>57477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93</v>
      </c>
      <c r="B31" s="503">
        <v>0.375</v>
      </c>
      <c r="C31" s="504">
        <v>2013</v>
      </c>
      <c r="D31" s="504">
        <v>3</v>
      </c>
      <c r="E31" s="504">
        <v>29</v>
      </c>
      <c r="F31" s="505">
        <v>57477</v>
      </c>
      <c r="G31" s="504">
        <v>0</v>
      </c>
      <c r="H31" s="505">
        <v>184330</v>
      </c>
      <c r="I31" s="504">
        <v>0</v>
      </c>
      <c r="J31" s="504">
        <v>0</v>
      </c>
      <c r="K31" s="504">
        <v>0</v>
      </c>
      <c r="L31" s="506">
        <v>326.09570000000002</v>
      </c>
      <c r="M31" s="505">
        <v>17.899999999999999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57477</v>
      </c>
      <c r="AF31" s="502">
        <v>93</v>
      </c>
      <c r="AG31" s="606">
        <v>29</v>
      </c>
      <c r="AH31" s="607">
        <v>57477</v>
      </c>
      <c r="AI31" s="608">
        <f t="shared" si="4"/>
        <v>57477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93</v>
      </c>
      <c r="B32" s="503">
        <v>0.375</v>
      </c>
      <c r="C32" s="504">
        <v>2013</v>
      </c>
      <c r="D32" s="504">
        <v>3</v>
      </c>
      <c r="E32" s="504">
        <v>30</v>
      </c>
      <c r="F32" s="505">
        <v>57477</v>
      </c>
      <c r="G32" s="504">
        <v>0</v>
      </c>
      <c r="H32" s="505">
        <v>184330</v>
      </c>
      <c r="I32" s="504">
        <v>0</v>
      </c>
      <c r="J32" s="504">
        <v>0</v>
      </c>
      <c r="K32" s="504">
        <v>0</v>
      </c>
      <c r="L32" s="506">
        <v>325.935</v>
      </c>
      <c r="M32" s="505">
        <v>19.7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57477</v>
      </c>
      <c r="AF32" s="502">
        <v>93</v>
      </c>
      <c r="AG32" s="606">
        <v>30</v>
      </c>
      <c r="AH32" s="607">
        <v>57477</v>
      </c>
      <c r="AI32" s="608">
        <f t="shared" si="4"/>
        <v>57477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93</v>
      </c>
      <c r="B33" s="503">
        <v>0.375</v>
      </c>
      <c r="C33" s="504">
        <v>2013</v>
      </c>
      <c r="D33" s="504">
        <v>3</v>
      </c>
      <c r="E33" s="504">
        <v>31</v>
      </c>
      <c r="F33" s="505">
        <v>57477</v>
      </c>
      <c r="G33" s="504">
        <v>0</v>
      </c>
      <c r="H33" s="505">
        <v>184330</v>
      </c>
      <c r="I33" s="504">
        <v>0</v>
      </c>
      <c r="J33" s="504">
        <v>0</v>
      </c>
      <c r="K33" s="504">
        <v>0</v>
      </c>
      <c r="L33" s="506">
        <v>325.81740000000002</v>
      </c>
      <c r="M33" s="505">
        <v>20</v>
      </c>
      <c r="N33" s="507">
        <v>0</v>
      </c>
      <c r="O33" s="508">
        <v>477</v>
      </c>
      <c r="P33" s="493">
        <f t="shared" si="0"/>
        <v>477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477</v>
      </c>
      <c r="W33" s="519">
        <f t="shared" si="10"/>
        <v>16845.097590000001</v>
      </c>
      <c r="Y33" s="513">
        <f t="shared" si="11"/>
        <v>4.1751253855966661</v>
      </c>
      <c r="Z33" s="510">
        <f t="shared" si="12"/>
        <v>17.48041496441612</v>
      </c>
      <c r="AA33" s="511">
        <f t="shared" si="13"/>
        <v>16.568189597332886</v>
      </c>
      <c r="AE33" s="598" t="str">
        <f t="shared" si="3"/>
        <v>57477</v>
      </c>
      <c r="AF33" s="502">
        <v>93</v>
      </c>
      <c r="AG33" s="606">
        <v>31</v>
      </c>
      <c r="AH33" s="607">
        <v>57477</v>
      </c>
      <c r="AI33" s="608">
        <f t="shared" si="4"/>
        <v>57477</v>
      </c>
      <c r="AJ33" s="609">
        <f t="shared" si="5"/>
        <v>0</v>
      </c>
      <c r="AL33" s="602">
        <f t="shared" si="6"/>
        <v>-57477</v>
      </c>
      <c r="AM33" s="613">
        <f t="shared" si="6"/>
        <v>477</v>
      </c>
      <c r="AN33" s="611">
        <f t="shared" si="7"/>
        <v>57954</v>
      </c>
      <c r="AO33" s="612">
        <f t="shared" si="8"/>
        <v>121.49685534591195</v>
      </c>
    </row>
    <row r="34" spans="1:41" ht="13.5" thickBot="1" x14ac:dyDescent="0.25">
      <c r="A34" s="148">
        <v>93</v>
      </c>
      <c r="B34" s="520">
        <v>0.375</v>
      </c>
      <c r="C34" s="146">
        <v>2013</v>
      </c>
      <c r="D34" s="146">
        <v>4</v>
      </c>
      <c r="E34" s="146">
        <v>1</v>
      </c>
      <c r="F34" s="521">
        <v>57954</v>
      </c>
      <c r="G34" s="146">
        <v>0</v>
      </c>
      <c r="H34" s="521">
        <v>184350</v>
      </c>
      <c r="I34" s="146">
        <v>0</v>
      </c>
      <c r="J34" s="146">
        <v>0</v>
      </c>
      <c r="K34" s="146">
        <v>0</v>
      </c>
      <c r="L34" s="522">
        <v>324.8646</v>
      </c>
      <c r="M34" s="521">
        <v>19.899999999999999</v>
      </c>
      <c r="N34" s="523">
        <v>0</v>
      </c>
      <c r="O34" s="524">
        <v>3552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57954</v>
      </c>
      <c r="AF34" s="148"/>
      <c r="AG34" s="614"/>
      <c r="AH34" s="615"/>
      <c r="AI34" s="616">
        <f t="shared" si="4"/>
        <v>57954</v>
      </c>
      <c r="AJ34" s="617">
        <f t="shared" si="5"/>
        <v>57954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327.94110000000001</v>
      </c>
      <c r="M36" s="535">
        <f>MAX(M3:M34)</f>
        <v>21.2</v>
      </c>
      <c r="N36" s="533" t="s">
        <v>68</v>
      </c>
      <c r="O36" s="535">
        <f>SUM(O3:O33)</f>
        <v>74896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74896</v>
      </c>
      <c r="W36" s="539">
        <f>SUM(W3:W33)</f>
        <v>2644927.5243199999</v>
      </c>
      <c r="Y36" s="540">
        <f>SUM(Y3:Y33)</f>
        <v>651.98508250367172</v>
      </c>
      <c r="Z36" s="541">
        <f>SUM(Z3:Z33)</f>
        <v>2729.7311434263725</v>
      </c>
      <c r="AA36" s="542">
        <f>SUM(AA3:AA33)</f>
        <v>2587.2785758288833</v>
      </c>
      <c r="AF36" s="621" t="s">
        <v>208</v>
      </c>
      <c r="AG36" s="534">
        <f>COUNT(AG3:AG34)</f>
        <v>11</v>
      </c>
      <c r="AJ36" s="622">
        <f>SUM(AJ3:AJ33)</f>
        <v>4145653</v>
      </c>
      <c r="AK36" s="623" t="s">
        <v>176</v>
      </c>
      <c r="AL36" s="624"/>
      <c r="AM36" s="624"/>
      <c r="AN36" s="622">
        <f>SUM(AN3:AN33)</f>
        <v>57954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316.21906562499998</v>
      </c>
      <c r="M37" s="543">
        <f>AVERAGE(M3:M34)</f>
        <v>12.721249999999996</v>
      </c>
      <c r="N37" s="533" t="s">
        <v>172</v>
      </c>
      <c r="O37" s="544">
        <f>O36*35.31467</f>
        <v>2644927.5243199999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21</v>
      </c>
      <c r="AN37" s="627">
        <f>IFERROR(AN36/SUM(AM3:AM33),"")</f>
        <v>-0.10077922439262754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100.06529999999999</v>
      </c>
      <c r="M38" s="544">
        <f>MIN(M3:M34)</f>
        <v>6.73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347.84097218750003</v>
      </c>
      <c r="M44" s="551">
        <f>M37*(1+$L$43)</f>
        <v>13.993374999999997</v>
      </c>
    </row>
    <row r="45" spans="1:41" x14ac:dyDescent="0.2">
      <c r="K45" s="550" t="s">
        <v>186</v>
      </c>
      <c r="L45" s="551">
        <f>L37*(1-$L$43)</f>
        <v>284.5971590625</v>
      </c>
      <c r="M45" s="551">
        <f>M37*(1-$L$43)</f>
        <v>11.449124999999997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199" priority="47" stopIfTrue="1" operator="lessThan">
      <formula>$L$45</formula>
    </cfRule>
    <cfRule type="cellIs" dxfId="1198" priority="48" stopIfTrue="1" operator="greaterThan">
      <formula>$L$44</formula>
    </cfRule>
  </conditionalFormatting>
  <conditionalFormatting sqref="M3:M34">
    <cfRule type="cellIs" dxfId="1197" priority="45" stopIfTrue="1" operator="lessThan">
      <formula>$M$45</formula>
    </cfRule>
    <cfRule type="cellIs" dxfId="1196" priority="46" stopIfTrue="1" operator="greaterThan">
      <formula>$M$44</formula>
    </cfRule>
  </conditionalFormatting>
  <conditionalFormatting sqref="O3:O34">
    <cfRule type="cellIs" dxfId="1195" priority="44" stopIfTrue="1" operator="lessThan">
      <formula>0</formula>
    </cfRule>
  </conditionalFormatting>
  <conditionalFormatting sqref="O3:O33">
    <cfRule type="cellIs" dxfId="1194" priority="43" stopIfTrue="1" operator="lessThan">
      <formula>0</formula>
    </cfRule>
  </conditionalFormatting>
  <conditionalFormatting sqref="O3">
    <cfRule type="cellIs" dxfId="1193" priority="42" stopIfTrue="1" operator="notEqual">
      <formula>$P$3</formula>
    </cfRule>
  </conditionalFormatting>
  <conditionalFormatting sqref="O4">
    <cfRule type="cellIs" dxfId="1192" priority="41" stopIfTrue="1" operator="notEqual">
      <formula>P$4</formula>
    </cfRule>
  </conditionalFormatting>
  <conditionalFormatting sqref="O5">
    <cfRule type="cellIs" dxfId="1191" priority="40" stopIfTrue="1" operator="notEqual">
      <formula>$P$5</formula>
    </cfRule>
  </conditionalFormatting>
  <conditionalFormatting sqref="O6">
    <cfRule type="cellIs" dxfId="1190" priority="39" stopIfTrue="1" operator="notEqual">
      <formula>$P$6</formula>
    </cfRule>
  </conditionalFormatting>
  <conditionalFormatting sqref="O7">
    <cfRule type="cellIs" dxfId="1189" priority="38" stopIfTrue="1" operator="notEqual">
      <formula>$P$7</formula>
    </cfRule>
  </conditionalFormatting>
  <conditionalFormatting sqref="O8">
    <cfRule type="cellIs" dxfId="1188" priority="37" stopIfTrue="1" operator="notEqual">
      <formula>$P$8</formula>
    </cfRule>
  </conditionalFormatting>
  <conditionalFormatting sqref="O9">
    <cfRule type="cellIs" dxfId="1187" priority="36" stopIfTrue="1" operator="notEqual">
      <formula>$P$9</formula>
    </cfRule>
  </conditionalFormatting>
  <conditionalFormatting sqref="O10">
    <cfRule type="cellIs" dxfId="1186" priority="34" stopIfTrue="1" operator="notEqual">
      <formula>$P$10</formula>
    </cfRule>
    <cfRule type="cellIs" dxfId="1185" priority="35" stopIfTrue="1" operator="greaterThan">
      <formula>$P$10</formula>
    </cfRule>
  </conditionalFormatting>
  <conditionalFormatting sqref="O11">
    <cfRule type="cellIs" dxfId="1184" priority="32" stopIfTrue="1" operator="notEqual">
      <formula>$P$11</formula>
    </cfRule>
    <cfRule type="cellIs" dxfId="1183" priority="33" stopIfTrue="1" operator="greaterThan">
      <formula>$P$11</formula>
    </cfRule>
  </conditionalFormatting>
  <conditionalFormatting sqref="O12">
    <cfRule type="cellIs" dxfId="1182" priority="31" stopIfTrue="1" operator="notEqual">
      <formula>$P$12</formula>
    </cfRule>
  </conditionalFormatting>
  <conditionalFormatting sqref="O14">
    <cfRule type="cellIs" dxfId="1181" priority="30" stopIfTrue="1" operator="notEqual">
      <formula>$P$14</formula>
    </cfRule>
  </conditionalFormatting>
  <conditionalFormatting sqref="O15">
    <cfRule type="cellIs" dxfId="1180" priority="29" stopIfTrue="1" operator="notEqual">
      <formula>$P$15</formula>
    </cfRule>
  </conditionalFormatting>
  <conditionalFormatting sqref="O16">
    <cfRule type="cellIs" dxfId="1179" priority="28" stopIfTrue="1" operator="notEqual">
      <formula>$P$16</formula>
    </cfRule>
  </conditionalFormatting>
  <conditionalFormatting sqref="O17">
    <cfRule type="cellIs" dxfId="1178" priority="27" stopIfTrue="1" operator="notEqual">
      <formula>$P$17</formula>
    </cfRule>
  </conditionalFormatting>
  <conditionalFormatting sqref="O18">
    <cfRule type="cellIs" dxfId="1177" priority="26" stopIfTrue="1" operator="notEqual">
      <formula>$P$18</formula>
    </cfRule>
  </conditionalFormatting>
  <conditionalFormatting sqref="O19">
    <cfRule type="cellIs" dxfId="1176" priority="24" stopIfTrue="1" operator="notEqual">
      <formula>$P$19</formula>
    </cfRule>
    <cfRule type="cellIs" dxfId="1175" priority="25" stopIfTrue="1" operator="greaterThan">
      <formula>$P$19</formula>
    </cfRule>
  </conditionalFormatting>
  <conditionalFormatting sqref="O20">
    <cfRule type="cellIs" dxfId="1174" priority="22" stopIfTrue="1" operator="notEqual">
      <formula>$P$20</formula>
    </cfRule>
    <cfRule type="cellIs" dxfId="1173" priority="23" stopIfTrue="1" operator="greaterThan">
      <formula>$P$20</formula>
    </cfRule>
  </conditionalFormatting>
  <conditionalFormatting sqref="O21">
    <cfRule type="cellIs" dxfId="1172" priority="21" stopIfTrue="1" operator="notEqual">
      <formula>$P$21</formula>
    </cfRule>
  </conditionalFormatting>
  <conditionalFormatting sqref="O22">
    <cfRule type="cellIs" dxfId="1171" priority="20" stopIfTrue="1" operator="notEqual">
      <formula>$P$22</formula>
    </cfRule>
  </conditionalFormatting>
  <conditionalFormatting sqref="O23">
    <cfRule type="cellIs" dxfId="1170" priority="19" stopIfTrue="1" operator="notEqual">
      <formula>$P$23</formula>
    </cfRule>
  </conditionalFormatting>
  <conditionalFormatting sqref="O24">
    <cfRule type="cellIs" dxfId="1169" priority="17" stopIfTrue="1" operator="notEqual">
      <formula>$P$24</formula>
    </cfRule>
    <cfRule type="cellIs" dxfId="1168" priority="18" stopIfTrue="1" operator="greaterThan">
      <formula>$P$24</formula>
    </cfRule>
  </conditionalFormatting>
  <conditionalFormatting sqref="O25">
    <cfRule type="cellIs" dxfId="1167" priority="15" stopIfTrue="1" operator="notEqual">
      <formula>$P$25</formula>
    </cfRule>
    <cfRule type="cellIs" dxfId="1166" priority="16" stopIfTrue="1" operator="greaterThan">
      <formula>$P$25</formula>
    </cfRule>
  </conditionalFormatting>
  <conditionalFormatting sqref="O26">
    <cfRule type="cellIs" dxfId="1165" priority="14" stopIfTrue="1" operator="notEqual">
      <formula>$P$26</formula>
    </cfRule>
  </conditionalFormatting>
  <conditionalFormatting sqref="O27">
    <cfRule type="cellIs" dxfId="1164" priority="13" stopIfTrue="1" operator="notEqual">
      <formula>$P$27</formula>
    </cfRule>
  </conditionalFormatting>
  <conditionalFormatting sqref="O28">
    <cfRule type="cellIs" dxfId="1163" priority="12" stopIfTrue="1" operator="notEqual">
      <formula>$P$28</formula>
    </cfRule>
  </conditionalFormatting>
  <conditionalFormatting sqref="O29">
    <cfRule type="cellIs" dxfId="1162" priority="11" stopIfTrue="1" operator="notEqual">
      <formula>$P$29</formula>
    </cfRule>
  </conditionalFormatting>
  <conditionalFormatting sqref="O30">
    <cfRule type="cellIs" dxfId="1161" priority="10" stopIfTrue="1" operator="notEqual">
      <formula>$P$30</formula>
    </cfRule>
  </conditionalFormatting>
  <conditionalFormatting sqref="O31">
    <cfRule type="cellIs" dxfId="1160" priority="8" stopIfTrue="1" operator="notEqual">
      <formula>$P$31</formula>
    </cfRule>
    <cfRule type="cellIs" dxfId="1159" priority="9" stopIfTrue="1" operator="greaterThan">
      <formula>$P$31</formula>
    </cfRule>
  </conditionalFormatting>
  <conditionalFormatting sqref="O32">
    <cfRule type="cellIs" dxfId="1158" priority="6" stopIfTrue="1" operator="notEqual">
      <formula>$P$32</formula>
    </cfRule>
    <cfRule type="cellIs" dxfId="1157" priority="7" stopIfTrue="1" operator="greaterThan">
      <formula>$P$32</formula>
    </cfRule>
  </conditionalFormatting>
  <conditionalFormatting sqref="O33">
    <cfRule type="cellIs" dxfId="1156" priority="5" stopIfTrue="1" operator="notEqual">
      <formula>$P$33</formula>
    </cfRule>
  </conditionalFormatting>
  <conditionalFormatting sqref="O13">
    <cfRule type="cellIs" dxfId="1155" priority="4" stopIfTrue="1" operator="notEqual">
      <formula>$P$13</formula>
    </cfRule>
  </conditionalFormatting>
  <conditionalFormatting sqref="AG3:AG34">
    <cfRule type="cellIs" dxfId="1154" priority="3" stopIfTrue="1" operator="notEqual">
      <formula>E3</formula>
    </cfRule>
  </conditionalFormatting>
  <conditionalFormatting sqref="AH3:AH34">
    <cfRule type="cellIs" dxfId="1153" priority="2" stopIfTrue="1" operator="notBetween">
      <formula>AI3+$AG$40</formula>
      <formula>AI3-$AG$40</formula>
    </cfRule>
  </conditionalFormatting>
  <conditionalFormatting sqref="AL3:AL33">
    <cfRule type="cellIs" dxfId="115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91</v>
      </c>
      <c r="B3" s="487">
        <v>0.375</v>
      </c>
      <c r="C3" s="488">
        <v>2013</v>
      </c>
      <c r="D3" s="488">
        <v>3</v>
      </c>
      <c r="E3" s="488">
        <v>1</v>
      </c>
      <c r="F3" s="489">
        <v>603133</v>
      </c>
      <c r="G3" s="488">
        <v>0</v>
      </c>
      <c r="H3" s="489">
        <v>219119</v>
      </c>
      <c r="I3" s="488">
        <v>0</v>
      </c>
      <c r="J3" s="488">
        <v>4</v>
      </c>
      <c r="K3" s="488">
        <v>0</v>
      </c>
      <c r="L3" s="490">
        <v>326.45240000000001</v>
      </c>
      <c r="M3" s="489">
        <v>21.5</v>
      </c>
      <c r="N3" s="491">
        <v>0</v>
      </c>
      <c r="O3" s="492">
        <v>992</v>
      </c>
      <c r="P3" s="493">
        <f>F4-F3</f>
        <v>992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992</v>
      </c>
      <c r="W3" s="498">
        <f>V3*35.31467</f>
        <v>35032.15264</v>
      </c>
      <c r="X3" s="497"/>
      <c r="Y3" s="499">
        <f>V3*R3/1000000</f>
        <v>8.5557214577941636</v>
      </c>
      <c r="Z3" s="500">
        <f>S3*V3/1000000</f>
        <v>35.821094599492604</v>
      </c>
      <c r="AA3" s="501">
        <f>W3*T3/1000000</f>
        <v>33.951750465679773</v>
      </c>
      <c r="AE3" s="598" t="str">
        <f>RIGHT(F3,6)</f>
        <v>603133</v>
      </c>
      <c r="AF3" s="486">
        <v>91</v>
      </c>
      <c r="AG3" s="491">
        <v>1</v>
      </c>
      <c r="AH3" s="599">
        <v>603133</v>
      </c>
      <c r="AI3" s="600">
        <f>IFERROR(AE3*1,0)</f>
        <v>603133</v>
      </c>
      <c r="AJ3" s="601">
        <f>(AI3-AH3)</f>
        <v>0</v>
      </c>
      <c r="AL3" s="602">
        <f>AH4-AH3</f>
        <v>-603133</v>
      </c>
      <c r="AM3" s="603">
        <f>AI4-AI3</f>
        <v>992</v>
      </c>
      <c r="AN3" s="604">
        <f>(AM3-AL3)</f>
        <v>604125</v>
      </c>
      <c r="AO3" s="605">
        <f>IFERROR(AN3/AM3,"")</f>
        <v>608.99697580645159</v>
      </c>
    </row>
    <row r="4" spans="1:41" x14ac:dyDescent="0.2">
      <c r="A4" s="502">
        <v>91</v>
      </c>
      <c r="B4" s="503">
        <v>0.375</v>
      </c>
      <c r="C4" s="504">
        <v>2013</v>
      </c>
      <c r="D4" s="504">
        <v>3</v>
      </c>
      <c r="E4" s="504">
        <v>2</v>
      </c>
      <c r="F4" s="505">
        <v>604125</v>
      </c>
      <c r="G4" s="504">
        <v>26041254</v>
      </c>
      <c r="H4" s="505">
        <v>444188</v>
      </c>
      <c r="I4" s="504">
        <v>4441884</v>
      </c>
      <c r="J4" s="504">
        <v>3</v>
      </c>
      <c r="K4" s="504">
        <v>38</v>
      </c>
      <c r="L4" s="506">
        <v>98.892200000000003</v>
      </c>
      <c r="M4" s="505">
        <v>12.05</v>
      </c>
      <c r="N4" s="507">
        <v>96.13</v>
      </c>
      <c r="O4" s="508">
        <v>144</v>
      </c>
      <c r="P4" s="493">
        <f t="shared" ref="P4:P33" si="0">F5-F4</f>
        <v>144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144</v>
      </c>
      <c r="W4" s="512">
        <f>V4*35.31467</f>
        <v>5085.3124799999996</v>
      </c>
      <c r="X4" s="497"/>
      <c r="Y4" s="513">
        <f>V4*R4/1000000</f>
        <v>1.2408716049431712</v>
      </c>
      <c r="Z4" s="510">
        <f>S4*V4/1000000</f>
        <v>5.1952812355760694</v>
      </c>
      <c r="AA4" s="511">
        <f>W4*T4/1000000</f>
        <v>4.9241625383442544</v>
      </c>
      <c r="AE4" s="598" t="str">
        <f t="shared" ref="AE4:AE34" si="3">RIGHT(F4,6)</f>
        <v>604125</v>
      </c>
      <c r="AF4" s="502"/>
      <c r="AG4" s="606"/>
      <c r="AH4" s="607"/>
      <c r="AI4" s="608">
        <f t="shared" ref="AI4:AI34" si="4">IFERROR(AE4*1,0)</f>
        <v>604125</v>
      </c>
      <c r="AJ4" s="609">
        <f t="shared" ref="AJ4:AJ34" si="5">(AI4-AH4)</f>
        <v>604125</v>
      </c>
      <c r="AL4" s="602">
        <f t="shared" ref="AL4:AM33" si="6">AH5-AH4</f>
        <v>0</v>
      </c>
      <c r="AM4" s="610">
        <f t="shared" si="6"/>
        <v>144</v>
      </c>
      <c r="AN4" s="611">
        <f t="shared" ref="AN4:AN33" si="7">(AM4-AL4)</f>
        <v>144</v>
      </c>
      <c r="AO4" s="612">
        <f t="shared" ref="AO4:AO33" si="8">IFERROR(AN4/AM4,"")</f>
        <v>1</v>
      </c>
    </row>
    <row r="5" spans="1:41" x14ac:dyDescent="0.2">
      <c r="A5" s="502">
        <v>91</v>
      </c>
      <c r="B5" s="503">
        <v>0.375</v>
      </c>
      <c r="C5" s="504">
        <v>2013</v>
      </c>
      <c r="D5" s="504">
        <v>3</v>
      </c>
      <c r="E5" s="504">
        <v>3</v>
      </c>
      <c r="F5" s="505">
        <v>604269</v>
      </c>
      <c r="G5" s="504">
        <v>26042692</v>
      </c>
      <c r="H5" s="505">
        <v>444208</v>
      </c>
      <c r="I5" s="504">
        <v>4442082</v>
      </c>
      <c r="J5" s="504">
        <v>3</v>
      </c>
      <c r="K5" s="504">
        <v>38</v>
      </c>
      <c r="L5" s="506">
        <v>100.2514</v>
      </c>
      <c r="M5" s="505">
        <v>15.27</v>
      </c>
      <c r="N5" s="507">
        <v>17.579999999999998</v>
      </c>
      <c r="O5" s="508">
        <v>792</v>
      </c>
      <c r="P5" s="493">
        <f t="shared" si="0"/>
        <v>792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792</v>
      </c>
      <c r="W5" s="512">
        <f t="shared" ref="W5:W33" si="10">V5*35.31467</f>
        <v>27969.218639999999</v>
      </c>
      <c r="X5" s="497"/>
      <c r="Y5" s="513">
        <f t="shared" ref="Y5:Y33" si="11">V5*R5/1000000</f>
        <v>6.8430204837581909</v>
      </c>
      <c r="Z5" s="510">
        <f t="shared" ref="Z5:Z33" si="12">S5*V5/1000000</f>
        <v>28.650358161398792</v>
      </c>
      <c r="AA5" s="511">
        <f t="shared" ref="AA5:AA33" si="13">W5*T5/1000000</f>
        <v>27.155222974731263</v>
      </c>
      <c r="AE5" s="598" t="str">
        <f t="shared" si="3"/>
        <v>604269</v>
      </c>
      <c r="AF5" s="502"/>
      <c r="AG5" s="606"/>
      <c r="AH5" s="607"/>
      <c r="AI5" s="608">
        <f t="shared" si="4"/>
        <v>604269</v>
      </c>
      <c r="AJ5" s="609">
        <f t="shared" si="5"/>
        <v>604269</v>
      </c>
      <c r="AL5" s="602">
        <f t="shared" si="6"/>
        <v>0</v>
      </c>
      <c r="AM5" s="610">
        <f t="shared" si="6"/>
        <v>792</v>
      </c>
      <c r="AN5" s="611">
        <f t="shared" si="7"/>
        <v>792</v>
      </c>
      <c r="AO5" s="612">
        <f t="shared" si="8"/>
        <v>1</v>
      </c>
    </row>
    <row r="6" spans="1:41" x14ac:dyDescent="0.2">
      <c r="A6" s="502">
        <v>91</v>
      </c>
      <c r="B6" s="503">
        <v>0.375</v>
      </c>
      <c r="C6" s="504">
        <v>2013</v>
      </c>
      <c r="D6" s="504">
        <v>3</v>
      </c>
      <c r="E6" s="504">
        <v>4</v>
      </c>
      <c r="F6" s="505">
        <v>605061</v>
      </c>
      <c r="G6" s="504">
        <v>26050611</v>
      </c>
      <c r="H6" s="505">
        <v>444316</v>
      </c>
      <c r="I6" s="504">
        <v>4443164</v>
      </c>
      <c r="J6" s="504">
        <v>3</v>
      </c>
      <c r="K6" s="504">
        <v>38</v>
      </c>
      <c r="L6" s="506">
        <v>98.883799999999994</v>
      </c>
      <c r="M6" s="505">
        <v>9.19</v>
      </c>
      <c r="N6" s="507">
        <v>194.37</v>
      </c>
      <c r="O6" s="508">
        <v>1779</v>
      </c>
      <c r="P6" s="493">
        <f t="shared" si="0"/>
        <v>1779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1779</v>
      </c>
      <c r="W6" s="512">
        <f t="shared" si="10"/>
        <v>62824.797930000001</v>
      </c>
      <c r="X6" s="497"/>
      <c r="Y6" s="513">
        <f t="shared" si="11"/>
        <v>15.425772798260775</v>
      </c>
      <c r="Z6" s="510">
        <f t="shared" si="12"/>
        <v>64.584625551758208</v>
      </c>
      <c r="AA6" s="511">
        <f t="shared" si="13"/>
        <v>61.214240245012505</v>
      </c>
      <c r="AE6" s="598" t="str">
        <f t="shared" si="3"/>
        <v>605061</v>
      </c>
      <c r="AF6" s="502"/>
      <c r="AG6" s="606"/>
      <c r="AH6" s="607"/>
      <c r="AI6" s="608">
        <f t="shared" si="4"/>
        <v>605061</v>
      </c>
      <c r="AJ6" s="609">
        <f t="shared" si="5"/>
        <v>605061</v>
      </c>
      <c r="AL6" s="602">
        <f t="shared" si="6"/>
        <v>0</v>
      </c>
      <c r="AM6" s="610">
        <f t="shared" si="6"/>
        <v>1779</v>
      </c>
      <c r="AN6" s="611">
        <f t="shared" si="7"/>
        <v>1779</v>
      </c>
      <c r="AO6" s="612">
        <f t="shared" si="8"/>
        <v>1</v>
      </c>
    </row>
    <row r="7" spans="1:41" x14ac:dyDescent="0.2">
      <c r="A7" s="502">
        <v>91</v>
      </c>
      <c r="B7" s="503">
        <v>0.375</v>
      </c>
      <c r="C7" s="504">
        <v>2013</v>
      </c>
      <c r="D7" s="504">
        <v>3</v>
      </c>
      <c r="E7" s="504">
        <v>5</v>
      </c>
      <c r="F7" s="505">
        <v>606840</v>
      </c>
      <c r="G7" s="504">
        <v>26068409</v>
      </c>
      <c r="H7" s="505">
        <v>444566</v>
      </c>
      <c r="I7" s="504">
        <v>4445661</v>
      </c>
      <c r="J7" s="504">
        <v>3</v>
      </c>
      <c r="K7" s="504">
        <v>38</v>
      </c>
      <c r="L7" s="506">
        <v>98.197900000000004</v>
      </c>
      <c r="M7" s="505">
        <v>14.54</v>
      </c>
      <c r="N7" s="507">
        <v>133.53</v>
      </c>
      <c r="O7" s="508">
        <v>1643</v>
      </c>
      <c r="P7" s="493">
        <f t="shared" si="0"/>
        <v>1643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1643</v>
      </c>
      <c r="W7" s="512">
        <f t="shared" si="10"/>
        <v>58022.002809999998</v>
      </c>
      <c r="X7" s="497"/>
      <c r="Y7" s="513">
        <f t="shared" si="11"/>
        <v>14.234627612488401</v>
      </c>
      <c r="Z7" s="510">
        <f t="shared" si="12"/>
        <v>59.597538887966429</v>
      </c>
      <c r="AA7" s="511">
        <f t="shared" si="13"/>
        <v>56.487407526668491</v>
      </c>
      <c r="AE7" s="598" t="str">
        <f t="shared" si="3"/>
        <v>606840</v>
      </c>
      <c r="AF7" s="502"/>
      <c r="AG7" s="606"/>
      <c r="AH7" s="607"/>
      <c r="AI7" s="608">
        <f t="shared" si="4"/>
        <v>606840</v>
      </c>
      <c r="AJ7" s="609">
        <f t="shared" si="5"/>
        <v>606840</v>
      </c>
      <c r="AL7" s="602">
        <f t="shared" si="6"/>
        <v>0</v>
      </c>
      <c r="AM7" s="610">
        <f t="shared" si="6"/>
        <v>1643</v>
      </c>
      <c r="AN7" s="611">
        <f t="shared" si="7"/>
        <v>1643</v>
      </c>
      <c r="AO7" s="612">
        <f t="shared" si="8"/>
        <v>1</v>
      </c>
    </row>
    <row r="8" spans="1:41" x14ac:dyDescent="0.2">
      <c r="A8" s="502">
        <v>91</v>
      </c>
      <c r="B8" s="503">
        <v>0.375</v>
      </c>
      <c r="C8" s="504">
        <v>2013</v>
      </c>
      <c r="D8" s="504">
        <v>3</v>
      </c>
      <c r="E8" s="504">
        <v>6</v>
      </c>
      <c r="F8" s="505">
        <v>608483</v>
      </c>
      <c r="G8" s="504">
        <v>26084838</v>
      </c>
      <c r="H8" s="505">
        <v>444795</v>
      </c>
      <c r="I8" s="504">
        <v>4447959</v>
      </c>
      <c r="J8" s="504">
        <v>3</v>
      </c>
      <c r="K8" s="504">
        <v>38</v>
      </c>
      <c r="L8" s="506">
        <v>98.449100000000001</v>
      </c>
      <c r="M8" s="505">
        <v>14.43</v>
      </c>
      <c r="N8" s="507">
        <v>157.55000000000001</v>
      </c>
      <c r="O8" s="508">
        <v>1548</v>
      </c>
      <c r="P8" s="493">
        <f t="shared" si="0"/>
        <v>1548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1548</v>
      </c>
      <c r="W8" s="512">
        <f t="shared" si="10"/>
        <v>54667.10916</v>
      </c>
      <c r="X8" s="497"/>
      <c r="Y8" s="513">
        <f t="shared" si="11"/>
        <v>13.43238381210902</v>
      </c>
      <c r="Z8" s="510">
        <f t="shared" si="12"/>
        <v>56.238704544538045</v>
      </c>
      <c r="AA8" s="511">
        <f t="shared" si="13"/>
        <v>53.303855858058917</v>
      </c>
      <c r="AE8" s="598" t="str">
        <f t="shared" si="3"/>
        <v>608483</v>
      </c>
      <c r="AF8" s="502"/>
      <c r="AG8" s="606"/>
      <c r="AH8" s="607"/>
      <c r="AI8" s="608">
        <f t="shared" si="4"/>
        <v>608483</v>
      </c>
      <c r="AJ8" s="609">
        <f t="shared" si="5"/>
        <v>608483</v>
      </c>
      <c r="AL8" s="602">
        <f t="shared" si="6"/>
        <v>0</v>
      </c>
      <c r="AM8" s="610">
        <f t="shared" si="6"/>
        <v>1548</v>
      </c>
      <c r="AN8" s="611">
        <f t="shared" si="7"/>
        <v>1548</v>
      </c>
      <c r="AO8" s="612">
        <f t="shared" si="8"/>
        <v>1</v>
      </c>
    </row>
    <row r="9" spans="1:41" x14ac:dyDescent="0.2">
      <c r="A9" s="502">
        <v>91</v>
      </c>
      <c r="B9" s="503">
        <v>0.375</v>
      </c>
      <c r="C9" s="504">
        <v>2013</v>
      </c>
      <c r="D9" s="504">
        <v>3</v>
      </c>
      <c r="E9" s="504">
        <v>7</v>
      </c>
      <c r="F9" s="505">
        <v>610031</v>
      </c>
      <c r="G9" s="504">
        <v>26100310</v>
      </c>
      <c r="H9" s="505">
        <v>445012</v>
      </c>
      <c r="I9" s="504">
        <v>4450125</v>
      </c>
      <c r="J9" s="504">
        <v>3</v>
      </c>
      <c r="K9" s="504">
        <v>38</v>
      </c>
      <c r="L9" s="506">
        <v>98.468699999999998</v>
      </c>
      <c r="M9" s="505">
        <v>14.71</v>
      </c>
      <c r="N9" s="507">
        <v>156.93</v>
      </c>
      <c r="O9" s="508">
        <v>1133</v>
      </c>
      <c r="P9" s="493">
        <f t="shared" si="0"/>
        <v>-610030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1133</v>
      </c>
      <c r="W9" s="512">
        <f t="shared" si="10"/>
        <v>40011.521110000001</v>
      </c>
      <c r="X9" s="497"/>
      <c r="Y9" s="513">
        <f t="shared" si="11"/>
        <v>9.8392250547084235</v>
      </c>
      <c r="Z9" s="510">
        <f t="shared" si="12"/>
        <v>41.194867459053228</v>
      </c>
      <c r="AA9" s="511">
        <f t="shared" si="13"/>
        <v>39.045089941398338</v>
      </c>
      <c r="AE9" s="598" t="str">
        <f t="shared" si="3"/>
        <v>610031</v>
      </c>
      <c r="AF9" s="502"/>
      <c r="AG9" s="606"/>
      <c r="AH9" s="607"/>
      <c r="AI9" s="608">
        <f t="shared" si="4"/>
        <v>610031</v>
      </c>
      <c r="AJ9" s="609">
        <f t="shared" si="5"/>
        <v>610031</v>
      </c>
      <c r="AL9" s="602">
        <f t="shared" si="6"/>
        <v>0</v>
      </c>
      <c r="AM9" s="610">
        <f t="shared" si="6"/>
        <v>-610030</v>
      </c>
      <c r="AN9" s="611">
        <f t="shared" si="7"/>
        <v>-610030</v>
      </c>
      <c r="AO9" s="612">
        <f t="shared" si="8"/>
        <v>1</v>
      </c>
    </row>
    <row r="10" spans="1:41" x14ac:dyDescent="0.2">
      <c r="A10" s="502">
        <v>91</v>
      </c>
      <c r="B10" s="503">
        <v>0.375</v>
      </c>
      <c r="C10" s="504">
        <v>2013</v>
      </c>
      <c r="D10" s="504">
        <v>3</v>
      </c>
      <c r="E10" s="504">
        <v>8</v>
      </c>
      <c r="F10" s="505">
        <v>1</v>
      </c>
      <c r="G10" s="504">
        <v>0</v>
      </c>
      <c r="H10" s="505">
        <v>445083</v>
      </c>
      <c r="I10" s="504">
        <v>0</v>
      </c>
      <c r="J10" s="504">
        <v>0</v>
      </c>
      <c r="K10" s="504">
        <v>0</v>
      </c>
      <c r="L10" s="506">
        <v>98.391999999999996</v>
      </c>
      <c r="M10" s="505">
        <v>14.6</v>
      </c>
      <c r="N10" s="507">
        <v>0</v>
      </c>
      <c r="O10" s="508">
        <v>775</v>
      </c>
      <c r="P10" s="493">
        <f t="shared" si="0"/>
        <v>775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775</v>
      </c>
      <c r="W10" s="512">
        <f t="shared" si="10"/>
        <v>27368.86925</v>
      </c>
      <c r="X10" s="497"/>
      <c r="Y10" s="513">
        <f t="shared" si="11"/>
        <v>6.7273159199123747</v>
      </c>
      <c r="Z10" s="510">
        <f t="shared" si="12"/>
        <v>28.165926293489132</v>
      </c>
      <c r="AA10" s="511">
        <f t="shared" si="13"/>
        <v>26.696071458542676</v>
      </c>
      <c r="AE10" s="598" t="str">
        <f t="shared" si="3"/>
        <v>1</v>
      </c>
      <c r="AF10" s="502"/>
      <c r="AG10" s="606"/>
      <c r="AH10" s="607"/>
      <c r="AI10" s="608">
        <f t="shared" si="4"/>
        <v>1</v>
      </c>
      <c r="AJ10" s="609">
        <f t="shared" si="5"/>
        <v>1</v>
      </c>
      <c r="AL10" s="602">
        <f t="shared" si="6"/>
        <v>0</v>
      </c>
      <c r="AM10" s="610">
        <f t="shared" si="6"/>
        <v>775</v>
      </c>
      <c r="AN10" s="611">
        <f t="shared" si="7"/>
        <v>775</v>
      </c>
      <c r="AO10" s="612">
        <f t="shared" si="8"/>
        <v>1</v>
      </c>
    </row>
    <row r="11" spans="1:41" x14ac:dyDescent="0.2">
      <c r="A11" s="502">
        <v>91</v>
      </c>
      <c r="B11" s="503">
        <v>0.375</v>
      </c>
      <c r="C11" s="504">
        <v>2013</v>
      </c>
      <c r="D11" s="504">
        <v>3</v>
      </c>
      <c r="E11" s="504">
        <v>9</v>
      </c>
      <c r="F11" s="505">
        <v>776</v>
      </c>
      <c r="G11" s="504">
        <v>0</v>
      </c>
      <c r="H11" s="505">
        <v>445351</v>
      </c>
      <c r="I11" s="504">
        <v>0</v>
      </c>
      <c r="J11" s="504">
        <v>0</v>
      </c>
      <c r="K11" s="504">
        <v>0</v>
      </c>
      <c r="L11" s="506">
        <v>98.578699999999998</v>
      </c>
      <c r="M11" s="505">
        <v>16.600000000000001</v>
      </c>
      <c r="N11" s="507">
        <v>0</v>
      </c>
      <c r="O11" s="508">
        <v>104</v>
      </c>
      <c r="P11" s="493">
        <f t="shared" si="0"/>
        <v>104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104</v>
      </c>
      <c r="W11" s="515">
        <f t="shared" si="10"/>
        <v>3672.72568</v>
      </c>
      <c r="Y11" s="513">
        <f t="shared" si="11"/>
        <v>0.90340616995819001</v>
      </c>
      <c r="Z11" s="510">
        <f t="shared" si="12"/>
        <v>3.78238095238095</v>
      </c>
      <c r="AA11" s="511">
        <f t="shared" si="13"/>
        <v>3.584995257604362</v>
      </c>
      <c r="AE11" s="598" t="str">
        <f t="shared" si="3"/>
        <v>776</v>
      </c>
      <c r="AF11" s="502"/>
      <c r="AG11" s="606"/>
      <c r="AH11" s="607"/>
      <c r="AI11" s="608">
        <f t="shared" si="4"/>
        <v>776</v>
      </c>
      <c r="AJ11" s="609">
        <f t="shared" si="5"/>
        <v>776</v>
      </c>
      <c r="AL11" s="602">
        <f t="shared" si="6"/>
        <v>0</v>
      </c>
      <c r="AM11" s="610">
        <f t="shared" si="6"/>
        <v>104</v>
      </c>
      <c r="AN11" s="611">
        <f t="shared" si="7"/>
        <v>104</v>
      </c>
      <c r="AO11" s="612">
        <f t="shared" si="8"/>
        <v>1</v>
      </c>
    </row>
    <row r="12" spans="1:41" x14ac:dyDescent="0.2">
      <c r="A12" s="502">
        <v>91</v>
      </c>
      <c r="B12" s="503">
        <v>0.375</v>
      </c>
      <c r="C12" s="504">
        <v>2013</v>
      </c>
      <c r="D12" s="504">
        <v>3</v>
      </c>
      <c r="E12" s="504">
        <v>10</v>
      </c>
      <c r="F12" s="505">
        <v>880</v>
      </c>
      <c r="G12" s="504">
        <v>0</v>
      </c>
      <c r="H12" s="505">
        <v>445367</v>
      </c>
      <c r="I12" s="504">
        <v>0</v>
      </c>
      <c r="J12" s="504">
        <v>0</v>
      </c>
      <c r="K12" s="504">
        <v>0</v>
      </c>
      <c r="L12" s="506">
        <v>99.569000000000003</v>
      </c>
      <c r="M12" s="505">
        <v>18</v>
      </c>
      <c r="N12" s="507">
        <v>0</v>
      </c>
      <c r="O12" s="508">
        <v>571</v>
      </c>
      <c r="P12" s="493">
        <f t="shared" si="0"/>
        <v>571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571</v>
      </c>
      <c r="W12" s="515">
        <f t="shared" si="10"/>
        <v>20164.67657</v>
      </c>
      <c r="Y12" s="513">
        <f t="shared" si="11"/>
        <v>4.96706883840465</v>
      </c>
      <c r="Z12" s="510">
        <f t="shared" si="12"/>
        <v>20.796123812632587</v>
      </c>
      <c r="AA12" s="511">
        <f t="shared" si="13"/>
        <v>19.710866299152229</v>
      </c>
      <c r="AE12" s="598" t="str">
        <f t="shared" si="3"/>
        <v>880</v>
      </c>
      <c r="AF12" s="502"/>
      <c r="AG12" s="606"/>
      <c r="AH12" s="607"/>
      <c r="AI12" s="608">
        <f t="shared" si="4"/>
        <v>880</v>
      </c>
      <c r="AJ12" s="609">
        <f t="shared" si="5"/>
        <v>880</v>
      </c>
      <c r="AL12" s="602">
        <f t="shared" si="6"/>
        <v>0</v>
      </c>
      <c r="AM12" s="610">
        <f t="shared" si="6"/>
        <v>571</v>
      </c>
      <c r="AN12" s="611">
        <f t="shared" si="7"/>
        <v>571</v>
      </c>
      <c r="AO12" s="612">
        <f t="shared" si="8"/>
        <v>1</v>
      </c>
    </row>
    <row r="13" spans="1:41" x14ac:dyDescent="0.2">
      <c r="A13" s="502">
        <v>91</v>
      </c>
      <c r="B13" s="503">
        <v>0.375</v>
      </c>
      <c r="C13" s="504">
        <v>2013</v>
      </c>
      <c r="D13" s="504">
        <v>3</v>
      </c>
      <c r="E13" s="504">
        <v>11</v>
      </c>
      <c r="F13" s="505">
        <v>1451</v>
      </c>
      <c r="G13" s="504">
        <v>0</v>
      </c>
      <c r="H13" s="505">
        <v>445449</v>
      </c>
      <c r="I13" s="504">
        <v>0</v>
      </c>
      <c r="J13" s="504">
        <v>0</v>
      </c>
      <c r="K13" s="504">
        <v>0</v>
      </c>
      <c r="L13" s="506">
        <v>98.927800000000005</v>
      </c>
      <c r="M13" s="505">
        <v>18.7</v>
      </c>
      <c r="N13" s="507">
        <v>0</v>
      </c>
      <c r="O13" s="508">
        <v>1227</v>
      </c>
      <c r="P13" s="493">
        <f t="shared" si="0"/>
        <v>1227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1227</v>
      </c>
      <c r="W13" s="515">
        <f t="shared" si="10"/>
        <v>43331.10009</v>
      </c>
      <c r="Y13" s="513">
        <f t="shared" si="11"/>
        <v>10.655058678484421</v>
      </c>
      <c r="Z13" s="510">
        <f t="shared" si="12"/>
        <v>44.610599675078568</v>
      </c>
      <c r="AA13" s="511">
        <f t="shared" si="13"/>
        <v>42.282570234859797</v>
      </c>
      <c r="AE13" s="598" t="str">
        <f t="shared" si="3"/>
        <v>1451</v>
      </c>
      <c r="AF13" s="502"/>
      <c r="AG13" s="606"/>
      <c r="AH13" s="607"/>
      <c r="AI13" s="608">
        <f t="shared" si="4"/>
        <v>1451</v>
      </c>
      <c r="AJ13" s="609">
        <f t="shared" si="5"/>
        <v>1451</v>
      </c>
      <c r="AL13" s="602">
        <f t="shared" si="6"/>
        <v>0</v>
      </c>
      <c r="AM13" s="610">
        <f t="shared" si="6"/>
        <v>1227</v>
      </c>
      <c r="AN13" s="611">
        <f t="shared" si="7"/>
        <v>1227</v>
      </c>
      <c r="AO13" s="612">
        <f t="shared" si="8"/>
        <v>1</v>
      </c>
    </row>
    <row r="14" spans="1:41" x14ac:dyDescent="0.2">
      <c r="A14" s="502">
        <v>91</v>
      </c>
      <c r="B14" s="503">
        <v>0.375</v>
      </c>
      <c r="C14" s="504">
        <v>2013</v>
      </c>
      <c r="D14" s="504">
        <v>3</v>
      </c>
      <c r="E14" s="504">
        <v>12</v>
      </c>
      <c r="F14" s="505">
        <v>2678</v>
      </c>
      <c r="G14" s="504">
        <v>0</v>
      </c>
      <c r="H14" s="505">
        <v>445628</v>
      </c>
      <c r="I14" s="504">
        <v>0</v>
      </c>
      <c r="J14" s="504">
        <v>0</v>
      </c>
      <c r="K14" s="504">
        <v>0</v>
      </c>
      <c r="L14" s="506">
        <v>98.227699999999999</v>
      </c>
      <c r="M14" s="505">
        <v>17</v>
      </c>
      <c r="N14" s="507">
        <v>0</v>
      </c>
      <c r="O14" s="508">
        <v>1666</v>
      </c>
      <c r="P14" s="493">
        <f t="shared" si="0"/>
        <v>1666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1666</v>
      </c>
      <c r="W14" s="515">
        <f t="shared" si="10"/>
        <v>58834.24022</v>
      </c>
      <c r="Y14" s="513">
        <f t="shared" si="11"/>
        <v>14.473478053733949</v>
      </c>
      <c r="Z14" s="510">
        <f t="shared" si="12"/>
        <v>60.597557915373287</v>
      </c>
      <c r="AA14" s="511">
        <f t="shared" si="13"/>
        <v>57.435239994075289</v>
      </c>
      <c r="AE14" s="598" t="str">
        <f t="shared" si="3"/>
        <v>2678</v>
      </c>
      <c r="AF14" s="502"/>
      <c r="AG14" s="606"/>
      <c r="AH14" s="607"/>
      <c r="AI14" s="608">
        <f t="shared" si="4"/>
        <v>2678</v>
      </c>
      <c r="AJ14" s="609">
        <f t="shared" si="5"/>
        <v>2678</v>
      </c>
      <c r="AL14" s="602">
        <f t="shared" si="6"/>
        <v>0</v>
      </c>
      <c r="AM14" s="610">
        <f t="shared" si="6"/>
        <v>1666</v>
      </c>
      <c r="AN14" s="611">
        <f t="shared" si="7"/>
        <v>1666</v>
      </c>
      <c r="AO14" s="612">
        <f t="shared" si="8"/>
        <v>1</v>
      </c>
    </row>
    <row r="15" spans="1:41" x14ac:dyDescent="0.2">
      <c r="A15" s="502">
        <v>91</v>
      </c>
      <c r="B15" s="503">
        <v>0.375</v>
      </c>
      <c r="C15" s="504">
        <v>2013</v>
      </c>
      <c r="D15" s="504">
        <v>3</v>
      </c>
      <c r="E15" s="504">
        <v>13</v>
      </c>
      <c r="F15" s="505">
        <v>4344</v>
      </c>
      <c r="G15" s="504">
        <v>0</v>
      </c>
      <c r="H15" s="505">
        <v>445871</v>
      </c>
      <c r="I15" s="504">
        <v>0</v>
      </c>
      <c r="J15" s="504">
        <v>0</v>
      </c>
      <c r="K15" s="504">
        <v>0</v>
      </c>
      <c r="L15" s="506">
        <v>98.231899999999996</v>
      </c>
      <c r="M15" s="505">
        <v>17.3</v>
      </c>
      <c r="N15" s="507">
        <v>0</v>
      </c>
      <c r="O15" s="508">
        <v>1516</v>
      </c>
      <c r="P15" s="493">
        <f t="shared" si="0"/>
        <v>1516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1516</v>
      </c>
      <c r="W15" s="515">
        <f t="shared" si="10"/>
        <v>53537.039720000001</v>
      </c>
      <c r="Y15" s="513">
        <f t="shared" si="11"/>
        <v>13.139077827098959</v>
      </c>
      <c r="Z15" s="510">
        <f t="shared" si="12"/>
        <v>55.010691046497918</v>
      </c>
      <c r="AA15" s="511">
        <f t="shared" si="13"/>
        <v>52.139926940751756</v>
      </c>
      <c r="AE15" s="598" t="str">
        <f t="shared" si="3"/>
        <v>4344</v>
      </c>
      <c r="AF15" s="502"/>
      <c r="AG15" s="606"/>
      <c r="AH15" s="607"/>
      <c r="AI15" s="608">
        <f t="shared" si="4"/>
        <v>4344</v>
      </c>
      <c r="AJ15" s="609">
        <f t="shared" si="5"/>
        <v>4344</v>
      </c>
      <c r="AL15" s="602">
        <f t="shared" si="6"/>
        <v>0</v>
      </c>
      <c r="AM15" s="610">
        <f t="shared" si="6"/>
        <v>1516</v>
      </c>
      <c r="AN15" s="611">
        <f t="shared" si="7"/>
        <v>1516</v>
      </c>
      <c r="AO15" s="612">
        <f t="shared" si="8"/>
        <v>1</v>
      </c>
    </row>
    <row r="16" spans="1:41" x14ac:dyDescent="0.2">
      <c r="A16" s="502">
        <v>91</v>
      </c>
      <c r="B16" s="503">
        <v>0.375</v>
      </c>
      <c r="C16" s="504">
        <v>2013</v>
      </c>
      <c r="D16" s="504">
        <v>3</v>
      </c>
      <c r="E16" s="504">
        <v>14</v>
      </c>
      <c r="F16" s="505">
        <v>5860</v>
      </c>
      <c r="G16" s="504">
        <v>0</v>
      </c>
      <c r="H16" s="505">
        <v>446092</v>
      </c>
      <c r="I16" s="504">
        <v>0</v>
      </c>
      <c r="J16" s="504">
        <v>0</v>
      </c>
      <c r="K16" s="504">
        <v>0</v>
      </c>
      <c r="L16" s="506">
        <v>98.359800000000007</v>
      </c>
      <c r="M16" s="505">
        <v>14.2</v>
      </c>
      <c r="N16" s="507">
        <v>0</v>
      </c>
      <c r="O16" s="508">
        <v>1355</v>
      </c>
      <c r="P16" s="493">
        <f t="shared" si="0"/>
        <v>1355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1355</v>
      </c>
      <c r="W16" s="515">
        <f t="shared" si="10"/>
        <v>47851.377849999997</v>
      </c>
      <c r="Y16" s="513">
        <f t="shared" si="11"/>
        <v>11.71329035217043</v>
      </c>
      <c r="Z16" s="510">
        <f t="shared" si="12"/>
        <v>49.041204046467158</v>
      </c>
      <c r="AA16" s="511">
        <f t="shared" si="13"/>
        <v>46.481961004779635</v>
      </c>
      <c r="AE16" s="598" t="str">
        <f t="shared" si="3"/>
        <v>5860</v>
      </c>
      <c r="AF16" s="502"/>
      <c r="AG16" s="606"/>
      <c r="AH16" s="607"/>
      <c r="AI16" s="608">
        <f t="shared" si="4"/>
        <v>5860</v>
      </c>
      <c r="AJ16" s="609">
        <f t="shared" si="5"/>
        <v>5860</v>
      </c>
      <c r="AL16" s="602">
        <f t="shared" si="6"/>
        <v>0</v>
      </c>
      <c r="AM16" s="610">
        <f t="shared" si="6"/>
        <v>1355</v>
      </c>
      <c r="AN16" s="611">
        <f t="shared" si="7"/>
        <v>1355</v>
      </c>
      <c r="AO16" s="612">
        <f t="shared" si="8"/>
        <v>1</v>
      </c>
    </row>
    <row r="17" spans="1:41" x14ac:dyDescent="0.2">
      <c r="A17" s="502">
        <v>91</v>
      </c>
      <c r="B17" s="503">
        <v>0.375</v>
      </c>
      <c r="C17" s="504">
        <v>2013</v>
      </c>
      <c r="D17" s="504">
        <v>3</v>
      </c>
      <c r="E17" s="504">
        <v>15</v>
      </c>
      <c r="F17" s="505">
        <v>7215</v>
      </c>
      <c r="G17" s="504">
        <v>0</v>
      </c>
      <c r="H17" s="505">
        <v>446289</v>
      </c>
      <c r="I17" s="504">
        <v>0</v>
      </c>
      <c r="J17" s="504">
        <v>0</v>
      </c>
      <c r="K17" s="504">
        <v>0</v>
      </c>
      <c r="L17" s="506">
        <v>98.382499999999993</v>
      </c>
      <c r="M17" s="505">
        <v>14.1</v>
      </c>
      <c r="N17" s="507">
        <v>0</v>
      </c>
      <c r="O17" s="508">
        <v>993</v>
      </c>
      <c r="P17" s="493">
        <f t="shared" si="0"/>
        <v>993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993</v>
      </c>
      <c r="W17" s="515">
        <f t="shared" si="10"/>
        <v>35067.46731</v>
      </c>
      <c r="Y17" s="513">
        <f t="shared" si="11"/>
        <v>8.6916132241037509</v>
      </c>
      <c r="Z17" s="510">
        <f t="shared" si="12"/>
        <v>36.390046246677585</v>
      </c>
      <c r="AA17" s="511">
        <f t="shared" si="13"/>
        <v>34.491011048535754</v>
      </c>
      <c r="AE17" s="598" t="str">
        <f t="shared" si="3"/>
        <v>7215</v>
      </c>
      <c r="AF17" s="502"/>
      <c r="AG17" s="606"/>
      <c r="AH17" s="607"/>
      <c r="AI17" s="608">
        <f t="shared" si="4"/>
        <v>7215</v>
      </c>
      <c r="AJ17" s="609">
        <f t="shared" si="5"/>
        <v>7215</v>
      </c>
      <c r="AL17" s="602">
        <f t="shared" si="6"/>
        <v>0</v>
      </c>
      <c r="AM17" s="610">
        <f t="shared" si="6"/>
        <v>993</v>
      </c>
      <c r="AN17" s="611">
        <f t="shared" si="7"/>
        <v>993</v>
      </c>
      <c r="AO17" s="612">
        <f t="shared" si="8"/>
        <v>1</v>
      </c>
    </row>
    <row r="18" spans="1:41" x14ac:dyDescent="0.2">
      <c r="A18" s="502">
        <v>91</v>
      </c>
      <c r="B18" s="503">
        <v>0.375</v>
      </c>
      <c r="C18" s="504">
        <v>2013</v>
      </c>
      <c r="D18" s="504">
        <v>3</v>
      </c>
      <c r="E18" s="504">
        <v>16</v>
      </c>
      <c r="F18" s="505">
        <v>8208</v>
      </c>
      <c r="G18" s="504">
        <v>0</v>
      </c>
      <c r="H18" s="505">
        <v>446433</v>
      </c>
      <c r="I18" s="504">
        <v>0</v>
      </c>
      <c r="J18" s="504">
        <v>0</v>
      </c>
      <c r="K18" s="504">
        <v>0</v>
      </c>
      <c r="L18" s="506">
        <v>98.637299999999996</v>
      </c>
      <c r="M18" s="505">
        <v>11.8</v>
      </c>
      <c r="N18" s="507">
        <v>0</v>
      </c>
      <c r="O18" s="508">
        <v>13</v>
      </c>
      <c r="P18" s="493">
        <f t="shared" si="0"/>
        <v>13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13</v>
      </c>
      <c r="W18" s="515">
        <f t="shared" si="10"/>
        <v>459.09071</v>
      </c>
      <c r="Y18" s="513">
        <f t="shared" si="11"/>
        <v>0.11378748430347307</v>
      </c>
      <c r="Z18" s="510">
        <f t="shared" si="12"/>
        <v>0.47640543928178108</v>
      </c>
      <c r="AA18" s="511">
        <f t="shared" si="13"/>
        <v>0.4515439512899948</v>
      </c>
      <c r="AE18" s="598" t="str">
        <f t="shared" si="3"/>
        <v>8208</v>
      </c>
      <c r="AF18" s="502"/>
      <c r="AG18" s="606"/>
      <c r="AH18" s="607"/>
      <c r="AI18" s="608">
        <f t="shared" si="4"/>
        <v>8208</v>
      </c>
      <c r="AJ18" s="609">
        <f t="shared" si="5"/>
        <v>8208</v>
      </c>
      <c r="AL18" s="602">
        <f t="shared" si="6"/>
        <v>0</v>
      </c>
      <c r="AM18" s="610">
        <f t="shared" si="6"/>
        <v>13</v>
      </c>
      <c r="AN18" s="611">
        <f t="shared" si="7"/>
        <v>13</v>
      </c>
      <c r="AO18" s="612">
        <f t="shared" si="8"/>
        <v>1</v>
      </c>
    </row>
    <row r="19" spans="1:41" x14ac:dyDescent="0.2">
      <c r="A19" s="502">
        <v>91</v>
      </c>
      <c r="B19" s="503">
        <v>0.375</v>
      </c>
      <c r="C19" s="504">
        <v>2013</v>
      </c>
      <c r="D19" s="504">
        <v>3</v>
      </c>
      <c r="E19" s="504">
        <v>17</v>
      </c>
      <c r="F19" s="505">
        <v>8221</v>
      </c>
      <c r="G19" s="504">
        <v>0</v>
      </c>
      <c r="H19" s="505">
        <v>446435</v>
      </c>
      <c r="I19" s="504">
        <v>0</v>
      </c>
      <c r="J19" s="504">
        <v>0</v>
      </c>
      <c r="K19" s="504">
        <v>0</v>
      </c>
      <c r="L19" s="506">
        <v>100.26479999999999</v>
      </c>
      <c r="M19" s="505">
        <v>11</v>
      </c>
      <c r="N19" s="507">
        <v>0</v>
      </c>
      <c r="O19" s="508">
        <v>0</v>
      </c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>8221</v>
      </c>
      <c r="AF19" s="502"/>
      <c r="AG19" s="606"/>
      <c r="AH19" s="607"/>
      <c r="AI19" s="608">
        <f t="shared" si="4"/>
        <v>8221</v>
      </c>
      <c r="AJ19" s="609">
        <f t="shared" si="5"/>
        <v>8221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>
        <v>91</v>
      </c>
      <c r="B20" s="503">
        <v>0.375</v>
      </c>
      <c r="C20" s="504">
        <v>2013</v>
      </c>
      <c r="D20" s="504">
        <v>3</v>
      </c>
      <c r="E20" s="504">
        <v>18</v>
      </c>
      <c r="F20" s="505">
        <v>8221</v>
      </c>
      <c r="G20" s="504">
        <v>0</v>
      </c>
      <c r="H20" s="505">
        <v>446435</v>
      </c>
      <c r="I20" s="504">
        <v>0</v>
      </c>
      <c r="J20" s="504">
        <v>0</v>
      </c>
      <c r="K20" s="504">
        <v>0</v>
      </c>
      <c r="L20" s="506">
        <v>100.2107</v>
      </c>
      <c r="M20" s="505">
        <v>15.4</v>
      </c>
      <c r="N20" s="507">
        <v>0</v>
      </c>
      <c r="O20" s="508">
        <v>683</v>
      </c>
      <c r="P20" s="493">
        <f t="shared" si="0"/>
        <v>683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683</v>
      </c>
      <c r="W20" s="515">
        <f t="shared" si="10"/>
        <v>24119.919610000001</v>
      </c>
      <c r="Y20" s="513">
        <f t="shared" si="11"/>
        <v>5.9782193676363162</v>
      </c>
      <c r="Z20" s="510">
        <f t="shared" si="12"/>
        <v>25.029608848419731</v>
      </c>
      <c r="AA20" s="511">
        <f t="shared" si="13"/>
        <v>23.723424517774344</v>
      </c>
      <c r="AE20" s="598" t="str">
        <f t="shared" si="3"/>
        <v>8221</v>
      </c>
      <c r="AF20" s="502"/>
      <c r="AG20" s="606"/>
      <c r="AH20" s="607"/>
      <c r="AI20" s="608">
        <f t="shared" si="4"/>
        <v>8221</v>
      </c>
      <c r="AJ20" s="609">
        <f t="shared" si="5"/>
        <v>8221</v>
      </c>
      <c r="AL20" s="602">
        <f t="shared" si="6"/>
        <v>0</v>
      </c>
      <c r="AM20" s="610">
        <f t="shared" si="6"/>
        <v>683</v>
      </c>
      <c r="AN20" s="611">
        <f t="shared" si="7"/>
        <v>683</v>
      </c>
      <c r="AO20" s="612">
        <f t="shared" si="8"/>
        <v>1</v>
      </c>
    </row>
    <row r="21" spans="1:41" x14ac:dyDescent="0.2">
      <c r="A21" s="502">
        <v>91</v>
      </c>
      <c r="B21" s="503">
        <v>0.375</v>
      </c>
      <c r="C21" s="504">
        <v>2013</v>
      </c>
      <c r="D21" s="504">
        <v>3</v>
      </c>
      <c r="E21" s="504">
        <v>19</v>
      </c>
      <c r="F21" s="505">
        <v>8904</v>
      </c>
      <c r="G21" s="504">
        <v>0</v>
      </c>
      <c r="H21" s="505">
        <v>446533</v>
      </c>
      <c r="I21" s="504">
        <v>0</v>
      </c>
      <c r="J21" s="504">
        <v>0</v>
      </c>
      <c r="K21" s="504">
        <v>0</v>
      </c>
      <c r="L21" s="506">
        <v>99.426100000000005</v>
      </c>
      <c r="M21" s="505">
        <v>18.600000000000001</v>
      </c>
      <c r="N21" s="507">
        <v>0</v>
      </c>
      <c r="O21" s="508">
        <v>1353</v>
      </c>
      <c r="P21" s="493">
        <f t="shared" si="0"/>
        <v>1353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1353</v>
      </c>
      <c r="W21" s="515">
        <f t="shared" si="10"/>
        <v>47780.748509999998</v>
      </c>
      <c r="Y21" s="513">
        <f t="shared" si="11"/>
        <v>11.842651250969158</v>
      </c>
      <c r="Z21" s="510">
        <f t="shared" si="12"/>
        <v>49.582812257557677</v>
      </c>
      <c r="AA21" s="511">
        <f t="shared" si="13"/>
        <v>46.995305084258689</v>
      </c>
      <c r="AE21" s="598" t="str">
        <f t="shared" si="3"/>
        <v>8904</v>
      </c>
      <c r="AF21" s="502"/>
      <c r="AG21" s="606"/>
      <c r="AH21" s="607"/>
      <c r="AI21" s="608">
        <f t="shared" si="4"/>
        <v>8904</v>
      </c>
      <c r="AJ21" s="609">
        <f t="shared" si="5"/>
        <v>8904</v>
      </c>
      <c r="AL21" s="602">
        <f t="shared" si="6"/>
        <v>0</v>
      </c>
      <c r="AM21" s="610">
        <f t="shared" si="6"/>
        <v>1353</v>
      </c>
      <c r="AN21" s="611">
        <f t="shared" si="7"/>
        <v>1353</v>
      </c>
      <c r="AO21" s="612">
        <f t="shared" si="8"/>
        <v>1</v>
      </c>
    </row>
    <row r="22" spans="1:41" x14ac:dyDescent="0.2">
      <c r="A22" s="502">
        <v>91</v>
      </c>
      <c r="B22" s="503">
        <v>0.375</v>
      </c>
      <c r="C22" s="504">
        <v>2013</v>
      </c>
      <c r="D22" s="504">
        <v>3</v>
      </c>
      <c r="E22" s="504">
        <v>20</v>
      </c>
      <c r="F22" s="505">
        <v>10257</v>
      </c>
      <c r="G22" s="504">
        <v>0</v>
      </c>
      <c r="H22" s="505">
        <v>446731</v>
      </c>
      <c r="I22" s="504">
        <v>0</v>
      </c>
      <c r="J22" s="504">
        <v>0</v>
      </c>
      <c r="K22" s="504">
        <v>0</v>
      </c>
      <c r="L22" s="506">
        <v>98.292000000000002</v>
      </c>
      <c r="M22" s="505">
        <v>18.600000000000001</v>
      </c>
      <c r="N22" s="507">
        <v>0</v>
      </c>
      <c r="O22" s="508">
        <v>1292</v>
      </c>
      <c r="P22" s="493">
        <f t="shared" si="0"/>
        <v>1292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1292</v>
      </c>
      <c r="W22" s="515">
        <f t="shared" si="10"/>
        <v>45626.553639999998</v>
      </c>
      <c r="Y22" s="513">
        <f t="shared" si="11"/>
        <v>11.308725363083632</v>
      </c>
      <c r="Z22" s="510">
        <f t="shared" si="12"/>
        <v>47.347371350158546</v>
      </c>
      <c r="AA22" s="511">
        <f t="shared" si="13"/>
        <v>44.876521928205641</v>
      </c>
      <c r="AE22" s="598" t="str">
        <f t="shared" si="3"/>
        <v>10257</v>
      </c>
      <c r="AF22" s="502"/>
      <c r="AG22" s="606"/>
      <c r="AH22" s="607"/>
      <c r="AI22" s="608">
        <f t="shared" si="4"/>
        <v>10257</v>
      </c>
      <c r="AJ22" s="609">
        <f t="shared" si="5"/>
        <v>10257</v>
      </c>
      <c r="AL22" s="602">
        <f t="shared" si="6"/>
        <v>0</v>
      </c>
      <c r="AM22" s="610">
        <f t="shared" si="6"/>
        <v>1292</v>
      </c>
      <c r="AN22" s="611">
        <f t="shared" si="7"/>
        <v>1292</v>
      </c>
      <c r="AO22" s="612">
        <f t="shared" si="8"/>
        <v>1</v>
      </c>
    </row>
    <row r="23" spans="1:41" x14ac:dyDescent="0.2">
      <c r="A23" s="502">
        <v>91</v>
      </c>
      <c r="B23" s="503">
        <v>0.375</v>
      </c>
      <c r="C23" s="504">
        <v>2013</v>
      </c>
      <c r="D23" s="504">
        <v>3</v>
      </c>
      <c r="E23" s="504">
        <v>21</v>
      </c>
      <c r="F23" s="505">
        <v>11549</v>
      </c>
      <c r="G23" s="504">
        <v>0</v>
      </c>
      <c r="H23" s="505">
        <v>446921</v>
      </c>
      <c r="I23" s="504">
        <v>0</v>
      </c>
      <c r="J23" s="504">
        <v>0</v>
      </c>
      <c r="K23" s="504">
        <v>0</v>
      </c>
      <c r="L23" s="506">
        <v>98.076700000000002</v>
      </c>
      <c r="M23" s="505">
        <v>18</v>
      </c>
      <c r="N23" s="507">
        <v>0</v>
      </c>
      <c r="O23" s="508">
        <v>1260</v>
      </c>
      <c r="P23" s="493">
        <f t="shared" si="0"/>
        <v>1260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1260</v>
      </c>
      <c r="W23" s="515">
        <f t="shared" si="10"/>
        <v>44496.484199999999</v>
      </c>
      <c r="Y23" s="513">
        <f t="shared" si="11"/>
        <v>11.02863309402893</v>
      </c>
      <c r="Z23" s="510">
        <f t="shared" si="12"/>
        <v>46.174681038080323</v>
      </c>
      <c r="AA23" s="511">
        <f t="shared" si="13"/>
        <v>43.765029125030267</v>
      </c>
      <c r="AE23" s="598" t="str">
        <f t="shared" si="3"/>
        <v>11549</v>
      </c>
      <c r="AF23" s="502"/>
      <c r="AG23" s="606"/>
      <c r="AH23" s="607"/>
      <c r="AI23" s="608">
        <f t="shared" si="4"/>
        <v>11549</v>
      </c>
      <c r="AJ23" s="609">
        <f t="shared" si="5"/>
        <v>11549</v>
      </c>
      <c r="AL23" s="602">
        <f t="shared" si="6"/>
        <v>0</v>
      </c>
      <c r="AM23" s="610">
        <f t="shared" si="6"/>
        <v>1260</v>
      </c>
      <c r="AN23" s="611">
        <f t="shared" si="7"/>
        <v>1260</v>
      </c>
      <c r="AO23" s="612">
        <f t="shared" si="8"/>
        <v>1</v>
      </c>
    </row>
    <row r="24" spans="1:41" x14ac:dyDescent="0.2">
      <c r="A24" s="502">
        <v>91</v>
      </c>
      <c r="B24" s="503">
        <v>0.375</v>
      </c>
      <c r="C24" s="504">
        <v>2013</v>
      </c>
      <c r="D24" s="504">
        <v>3</v>
      </c>
      <c r="E24" s="504">
        <v>22</v>
      </c>
      <c r="F24" s="505">
        <v>12809</v>
      </c>
      <c r="G24" s="504">
        <v>0</v>
      </c>
      <c r="H24" s="505">
        <v>447106</v>
      </c>
      <c r="I24" s="504">
        <v>0</v>
      </c>
      <c r="J24" s="504">
        <v>0</v>
      </c>
      <c r="K24" s="504">
        <v>0</v>
      </c>
      <c r="L24" s="506">
        <v>98.004099999999994</v>
      </c>
      <c r="M24" s="505">
        <v>18.899999999999999</v>
      </c>
      <c r="N24" s="507">
        <v>0</v>
      </c>
      <c r="O24" s="508">
        <v>791</v>
      </c>
      <c r="P24" s="493">
        <f t="shared" si="0"/>
        <v>791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791</v>
      </c>
      <c r="W24" s="515">
        <f t="shared" si="10"/>
        <v>27933.903969999999</v>
      </c>
      <c r="Y24" s="513">
        <f t="shared" si="11"/>
        <v>6.923530775695939</v>
      </c>
      <c r="Z24" s="510">
        <f t="shared" si="12"/>
        <v>28.987438651683757</v>
      </c>
      <c r="AA24" s="511">
        <f t="shared" si="13"/>
        <v>27.47471272849122</v>
      </c>
      <c r="AE24" s="598" t="str">
        <f t="shared" si="3"/>
        <v>12809</v>
      </c>
      <c r="AF24" s="502"/>
      <c r="AG24" s="606"/>
      <c r="AH24" s="607"/>
      <c r="AI24" s="608">
        <f t="shared" si="4"/>
        <v>12809</v>
      </c>
      <c r="AJ24" s="609">
        <f t="shared" si="5"/>
        <v>12809</v>
      </c>
      <c r="AL24" s="602">
        <f t="shared" si="6"/>
        <v>0</v>
      </c>
      <c r="AM24" s="610">
        <f t="shared" si="6"/>
        <v>791</v>
      </c>
      <c r="AN24" s="611">
        <f t="shared" si="7"/>
        <v>791</v>
      </c>
      <c r="AO24" s="612">
        <f t="shared" si="8"/>
        <v>1</v>
      </c>
    </row>
    <row r="25" spans="1:41" x14ac:dyDescent="0.2">
      <c r="A25" s="502">
        <v>91</v>
      </c>
      <c r="B25" s="503">
        <v>0.375</v>
      </c>
      <c r="C25" s="504">
        <v>2013</v>
      </c>
      <c r="D25" s="504">
        <v>3</v>
      </c>
      <c r="E25" s="504">
        <v>23</v>
      </c>
      <c r="F25" s="505">
        <v>13600</v>
      </c>
      <c r="G25" s="504">
        <v>0</v>
      </c>
      <c r="H25" s="505">
        <v>447223</v>
      </c>
      <c r="I25" s="504">
        <v>0</v>
      </c>
      <c r="J25" s="504">
        <v>0</v>
      </c>
      <c r="K25" s="504">
        <v>0</v>
      </c>
      <c r="L25" s="506">
        <v>98.397999999999996</v>
      </c>
      <c r="M25" s="505">
        <v>17.5</v>
      </c>
      <c r="N25" s="507">
        <v>0</v>
      </c>
      <c r="O25" s="508">
        <v>68</v>
      </c>
      <c r="P25" s="493">
        <f t="shared" si="0"/>
        <v>68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68</v>
      </c>
      <c r="W25" s="515">
        <f t="shared" si="10"/>
        <v>2401.3975599999999</v>
      </c>
      <c r="Y25" s="513">
        <f t="shared" si="11"/>
        <v>0.59519607174124378</v>
      </c>
      <c r="Z25" s="510">
        <f t="shared" si="12"/>
        <v>2.4919669131662392</v>
      </c>
      <c r="AA25" s="511">
        <f t="shared" si="13"/>
        <v>2.3619222067476651</v>
      </c>
      <c r="AE25" s="598" t="str">
        <f t="shared" si="3"/>
        <v>13600</v>
      </c>
      <c r="AF25" s="502"/>
      <c r="AG25" s="606"/>
      <c r="AH25" s="607"/>
      <c r="AI25" s="608">
        <f t="shared" si="4"/>
        <v>13600</v>
      </c>
      <c r="AJ25" s="609">
        <f t="shared" si="5"/>
        <v>13600</v>
      </c>
      <c r="AL25" s="602">
        <f t="shared" si="6"/>
        <v>0</v>
      </c>
      <c r="AM25" s="610">
        <f t="shared" si="6"/>
        <v>68</v>
      </c>
      <c r="AN25" s="611">
        <f t="shared" si="7"/>
        <v>68</v>
      </c>
      <c r="AO25" s="612">
        <f t="shared" si="8"/>
        <v>1</v>
      </c>
    </row>
    <row r="26" spans="1:41" x14ac:dyDescent="0.2">
      <c r="A26" s="502">
        <v>91</v>
      </c>
      <c r="B26" s="503">
        <v>0.375</v>
      </c>
      <c r="C26" s="504">
        <v>2013</v>
      </c>
      <c r="D26" s="504">
        <v>3</v>
      </c>
      <c r="E26" s="504">
        <v>24</v>
      </c>
      <c r="F26" s="505">
        <v>13668</v>
      </c>
      <c r="G26" s="504">
        <v>0</v>
      </c>
      <c r="H26" s="505">
        <v>447234</v>
      </c>
      <c r="I26" s="504">
        <v>0</v>
      </c>
      <c r="J26" s="504">
        <v>0</v>
      </c>
      <c r="K26" s="504">
        <v>0</v>
      </c>
      <c r="L26" s="506">
        <v>99.288799999999995</v>
      </c>
      <c r="M26" s="505">
        <v>18.8</v>
      </c>
      <c r="N26" s="507">
        <v>0</v>
      </c>
      <c r="O26" s="508">
        <v>775</v>
      </c>
      <c r="P26" s="493">
        <f t="shared" si="0"/>
        <v>775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775</v>
      </c>
      <c r="W26" s="515">
        <f t="shared" si="10"/>
        <v>27368.86925</v>
      </c>
      <c r="Y26" s="513">
        <f t="shared" si="11"/>
        <v>6.7834846411685872</v>
      </c>
      <c r="Z26" s="510">
        <f t="shared" si="12"/>
        <v>28.401093495644641</v>
      </c>
      <c r="AA26" s="511">
        <f t="shared" si="13"/>
        <v>26.918966326903536</v>
      </c>
      <c r="AE26" s="598" t="str">
        <f t="shared" si="3"/>
        <v>13668</v>
      </c>
      <c r="AF26" s="502"/>
      <c r="AG26" s="606"/>
      <c r="AH26" s="607"/>
      <c r="AI26" s="608">
        <f t="shared" si="4"/>
        <v>13668</v>
      </c>
      <c r="AJ26" s="609">
        <f t="shared" si="5"/>
        <v>13668</v>
      </c>
      <c r="AL26" s="602">
        <f t="shared" si="6"/>
        <v>0</v>
      </c>
      <c r="AM26" s="610">
        <f t="shared" si="6"/>
        <v>775</v>
      </c>
      <c r="AN26" s="611">
        <f t="shared" si="7"/>
        <v>775</v>
      </c>
      <c r="AO26" s="612">
        <f t="shared" si="8"/>
        <v>1</v>
      </c>
    </row>
    <row r="27" spans="1:41" x14ac:dyDescent="0.2">
      <c r="A27" s="502">
        <v>91</v>
      </c>
      <c r="B27" s="503">
        <v>0.375</v>
      </c>
      <c r="C27" s="504">
        <v>2013</v>
      </c>
      <c r="D27" s="504">
        <v>3</v>
      </c>
      <c r="E27" s="504">
        <v>25</v>
      </c>
      <c r="F27" s="505">
        <v>14443</v>
      </c>
      <c r="G27" s="504">
        <v>0</v>
      </c>
      <c r="H27" s="505">
        <v>447346</v>
      </c>
      <c r="I27" s="504">
        <v>0</v>
      </c>
      <c r="J27" s="504">
        <v>0</v>
      </c>
      <c r="K27" s="504">
        <v>0</v>
      </c>
      <c r="L27" s="506">
        <v>98.719700000000003</v>
      </c>
      <c r="M27" s="505">
        <v>19.2</v>
      </c>
      <c r="N27" s="507">
        <v>0</v>
      </c>
      <c r="O27" s="508">
        <v>1549</v>
      </c>
      <c r="P27" s="493">
        <f t="shared" si="0"/>
        <v>1549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1549</v>
      </c>
      <c r="W27" s="515">
        <f t="shared" si="10"/>
        <v>54702.42383</v>
      </c>
      <c r="Y27" s="513">
        <f t="shared" si="11"/>
        <v>13.558216398929215</v>
      </c>
      <c r="Z27" s="510">
        <f t="shared" si="12"/>
        <v>56.765540419036839</v>
      </c>
      <c r="AA27" s="511">
        <f t="shared" si="13"/>
        <v>53.80319850370784</v>
      </c>
      <c r="AE27" s="598" t="str">
        <f t="shared" si="3"/>
        <v>14443</v>
      </c>
      <c r="AF27" s="502"/>
      <c r="AG27" s="606"/>
      <c r="AH27" s="607"/>
      <c r="AI27" s="608">
        <f t="shared" si="4"/>
        <v>14443</v>
      </c>
      <c r="AJ27" s="609">
        <f t="shared" si="5"/>
        <v>14443</v>
      </c>
      <c r="AL27" s="602">
        <f t="shared" si="6"/>
        <v>0</v>
      </c>
      <c r="AM27" s="610">
        <f t="shared" si="6"/>
        <v>1549</v>
      </c>
      <c r="AN27" s="611">
        <f t="shared" si="7"/>
        <v>1549</v>
      </c>
      <c r="AO27" s="612">
        <f t="shared" si="8"/>
        <v>1</v>
      </c>
    </row>
    <row r="28" spans="1:41" x14ac:dyDescent="0.2">
      <c r="A28" s="502">
        <v>91</v>
      </c>
      <c r="B28" s="503">
        <v>0.375</v>
      </c>
      <c r="C28" s="504">
        <v>2013</v>
      </c>
      <c r="D28" s="504">
        <v>3</v>
      </c>
      <c r="E28" s="504">
        <v>26</v>
      </c>
      <c r="F28" s="505">
        <v>15992</v>
      </c>
      <c r="G28" s="504">
        <v>0</v>
      </c>
      <c r="H28" s="505">
        <v>447572</v>
      </c>
      <c r="I28" s="504">
        <v>0</v>
      </c>
      <c r="J28" s="504">
        <v>0</v>
      </c>
      <c r="K28" s="504">
        <v>0</v>
      </c>
      <c r="L28" s="506">
        <v>98.074600000000004</v>
      </c>
      <c r="M28" s="505">
        <v>16.899999999999999</v>
      </c>
      <c r="N28" s="507">
        <v>0</v>
      </c>
      <c r="O28" s="508">
        <v>1568</v>
      </c>
      <c r="P28" s="493">
        <f t="shared" si="0"/>
        <v>1568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1568</v>
      </c>
      <c r="W28" s="515">
        <f t="shared" si="10"/>
        <v>55373.402560000002</v>
      </c>
      <c r="Y28" s="513">
        <f t="shared" si="11"/>
        <v>13.724521183680444</v>
      </c>
      <c r="Z28" s="510">
        <f t="shared" si="12"/>
        <v>57.461825291833286</v>
      </c>
      <c r="AA28" s="511">
        <f t="shared" si="13"/>
        <v>54.463147355593222</v>
      </c>
      <c r="AE28" s="598" t="str">
        <f t="shared" si="3"/>
        <v>15992</v>
      </c>
      <c r="AF28" s="502"/>
      <c r="AG28" s="606"/>
      <c r="AH28" s="607"/>
      <c r="AI28" s="608">
        <f t="shared" si="4"/>
        <v>15992</v>
      </c>
      <c r="AJ28" s="609">
        <f t="shared" si="5"/>
        <v>15992</v>
      </c>
      <c r="AL28" s="602">
        <f t="shared" si="6"/>
        <v>0</v>
      </c>
      <c r="AM28" s="610">
        <f t="shared" si="6"/>
        <v>1568</v>
      </c>
      <c r="AN28" s="611">
        <f t="shared" si="7"/>
        <v>1568</v>
      </c>
      <c r="AO28" s="612">
        <f t="shared" si="8"/>
        <v>1</v>
      </c>
    </row>
    <row r="29" spans="1:41" x14ac:dyDescent="0.2">
      <c r="A29" s="502">
        <v>91</v>
      </c>
      <c r="B29" s="503">
        <v>0.375</v>
      </c>
      <c r="C29" s="504">
        <v>2013</v>
      </c>
      <c r="D29" s="504">
        <v>3</v>
      </c>
      <c r="E29" s="504">
        <v>27</v>
      </c>
      <c r="F29" s="505">
        <v>17560</v>
      </c>
      <c r="G29" s="504">
        <v>0</v>
      </c>
      <c r="H29" s="505">
        <v>447800</v>
      </c>
      <c r="I29" s="504">
        <v>0</v>
      </c>
      <c r="J29" s="504">
        <v>0</v>
      </c>
      <c r="K29" s="504">
        <v>0</v>
      </c>
      <c r="L29" s="506">
        <v>98.377099999999999</v>
      </c>
      <c r="M29" s="505">
        <v>15.8</v>
      </c>
      <c r="N29" s="507">
        <v>0</v>
      </c>
      <c r="O29" s="508">
        <v>863</v>
      </c>
      <c r="P29" s="493">
        <f t="shared" si="0"/>
        <v>863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863</v>
      </c>
      <c r="W29" s="515">
        <f t="shared" si="10"/>
        <v>30476.56021</v>
      </c>
      <c r="Y29" s="513">
        <f t="shared" si="11"/>
        <v>7.55373838106902</v>
      </c>
      <c r="Z29" s="510">
        <f t="shared" si="12"/>
        <v>31.625991853859773</v>
      </c>
      <c r="AA29" s="511">
        <f t="shared" si="13"/>
        <v>29.975571535635808</v>
      </c>
      <c r="AE29" s="598" t="str">
        <f t="shared" si="3"/>
        <v>17560</v>
      </c>
      <c r="AF29" s="502"/>
      <c r="AG29" s="606"/>
      <c r="AH29" s="607"/>
      <c r="AI29" s="608">
        <f t="shared" si="4"/>
        <v>17560</v>
      </c>
      <c r="AJ29" s="609">
        <f t="shared" si="5"/>
        <v>17560</v>
      </c>
      <c r="AL29" s="602">
        <f t="shared" si="6"/>
        <v>0</v>
      </c>
      <c r="AM29" s="610">
        <f t="shared" si="6"/>
        <v>863</v>
      </c>
      <c r="AN29" s="611">
        <f t="shared" si="7"/>
        <v>863</v>
      </c>
      <c r="AO29" s="612">
        <f t="shared" si="8"/>
        <v>1</v>
      </c>
    </row>
    <row r="30" spans="1:41" x14ac:dyDescent="0.2">
      <c r="A30" s="502">
        <v>91</v>
      </c>
      <c r="B30" s="503">
        <v>0.375</v>
      </c>
      <c r="C30" s="504">
        <v>2013</v>
      </c>
      <c r="D30" s="504">
        <v>3</v>
      </c>
      <c r="E30" s="504">
        <v>28</v>
      </c>
      <c r="F30" s="505">
        <v>18423</v>
      </c>
      <c r="G30" s="504">
        <v>0</v>
      </c>
      <c r="H30" s="505">
        <v>447926</v>
      </c>
      <c r="I30" s="504">
        <v>0</v>
      </c>
      <c r="J30" s="504">
        <v>0</v>
      </c>
      <c r="K30" s="504">
        <v>0</v>
      </c>
      <c r="L30" s="506">
        <v>99.191999999999993</v>
      </c>
      <c r="M30" s="505">
        <v>17.2</v>
      </c>
      <c r="N30" s="507">
        <v>0</v>
      </c>
      <c r="O30" s="508">
        <v>10</v>
      </c>
      <c r="P30" s="493">
        <f t="shared" si="0"/>
        <v>10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10</v>
      </c>
      <c r="W30" s="515">
        <f t="shared" si="10"/>
        <v>353.14670000000001</v>
      </c>
      <c r="Y30" s="513">
        <f t="shared" si="11"/>
        <v>8.7528834079594678E-2</v>
      </c>
      <c r="Z30" s="510">
        <f t="shared" si="12"/>
        <v>0.36646572252444698</v>
      </c>
      <c r="AA30" s="511">
        <f t="shared" si="13"/>
        <v>0.34734150099230371</v>
      </c>
      <c r="AE30" s="598" t="str">
        <f t="shared" si="3"/>
        <v>18423</v>
      </c>
      <c r="AF30" s="502"/>
      <c r="AG30" s="606"/>
      <c r="AH30" s="607"/>
      <c r="AI30" s="608">
        <f t="shared" si="4"/>
        <v>18423</v>
      </c>
      <c r="AJ30" s="609">
        <f t="shared" si="5"/>
        <v>18423</v>
      </c>
      <c r="AL30" s="602">
        <f t="shared" si="6"/>
        <v>0</v>
      </c>
      <c r="AM30" s="610">
        <f t="shared" si="6"/>
        <v>10</v>
      </c>
      <c r="AN30" s="611">
        <f t="shared" si="7"/>
        <v>10</v>
      </c>
      <c r="AO30" s="612">
        <f t="shared" si="8"/>
        <v>1</v>
      </c>
    </row>
    <row r="31" spans="1:41" x14ac:dyDescent="0.2">
      <c r="A31" s="502">
        <v>91</v>
      </c>
      <c r="B31" s="503">
        <v>0.375</v>
      </c>
      <c r="C31" s="504">
        <v>2013</v>
      </c>
      <c r="D31" s="504">
        <v>3</v>
      </c>
      <c r="E31" s="504">
        <v>29</v>
      </c>
      <c r="F31" s="505">
        <v>18433</v>
      </c>
      <c r="G31" s="504">
        <v>0</v>
      </c>
      <c r="H31" s="505">
        <v>447928</v>
      </c>
      <c r="I31" s="504">
        <v>0</v>
      </c>
      <c r="J31" s="504">
        <v>0</v>
      </c>
      <c r="K31" s="504">
        <v>0</v>
      </c>
      <c r="L31" s="506">
        <v>100.67</v>
      </c>
      <c r="M31" s="505">
        <v>17.600000000000001</v>
      </c>
      <c r="N31" s="507">
        <v>0</v>
      </c>
      <c r="O31" s="508">
        <v>10</v>
      </c>
      <c r="P31" s="493">
        <f t="shared" si="0"/>
        <v>10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10</v>
      </c>
      <c r="W31" s="515">
        <f t="shared" si="10"/>
        <v>353.14670000000001</v>
      </c>
      <c r="Y31" s="513">
        <f t="shared" si="11"/>
        <v>8.7528834079594678E-2</v>
      </c>
      <c r="Z31" s="510">
        <f t="shared" si="12"/>
        <v>0.36646572252444698</v>
      </c>
      <c r="AA31" s="511">
        <f t="shared" si="13"/>
        <v>0.34734150099230371</v>
      </c>
      <c r="AE31" s="598" t="str">
        <f t="shared" si="3"/>
        <v>18433</v>
      </c>
      <c r="AF31" s="502"/>
      <c r="AG31" s="606"/>
      <c r="AH31" s="607"/>
      <c r="AI31" s="608">
        <f t="shared" si="4"/>
        <v>18433</v>
      </c>
      <c r="AJ31" s="609">
        <f t="shared" si="5"/>
        <v>18433</v>
      </c>
      <c r="AL31" s="602">
        <f t="shared" si="6"/>
        <v>0</v>
      </c>
      <c r="AM31" s="610">
        <f t="shared" si="6"/>
        <v>10</v>
      </c>
      <c r="AN31" s="611">
        <f t="shared" si="7"/>
        <v>10</v>
      </c>
      <c r="AO31" s="612">
        <f t="shared" si="8"/>
        <v>1</v>
      </c>
    </row>
    <row r="32" spans="1:41" x14ac:dyDescent="0.2">
      <c r="A32" s="502">
        <v>91</v>
      </c>
      <c r="B32" s="503">
        <v>0.375</v>
      </c>
      <c r="C32" s="504">
        <v>2013</v>
      </c>
      <c r="D32" s="504">
        <v>3</v>
      </c>
      <c r="E32" s="504">
        <v>30</v>
      </c>
      <c r="F32" s="505">
        <v>18443</v>
      </c>
      <c r="G32" s="504">
        <v>0</v>
      </c>
      <c r="H32" s="505">
        <v>447929</v>
      </c>
      <c r="I32" s="504">
        <v>0</v>
      </c>
      <c r="J32" s="504">
        <v>0</v>
      </c>
      <c r="K32" s="504">
        <v>0</v>
      </c>
      <c r="L32" s="506">
        <v>103.7548</v>
      </c>
      <c r="M32" s="505">
        <v>19.5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18443</v>
      </c>
      <c r="AF32" s="502"/>
      <c r="AG32" s="606"/>
      <c r="AH32" s="607"/>
      <c r="AI32" s="608">
        <f t="shared" si="4"/>
        <v>18443</v>
      </c>
      <c r="AJ32" s="609">
        <f t="shared" si="5"/>
        <v>18443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91</v>
      </c>
      <c r="B33" s="503">
        <v>0.375</v>
      </c>
      <c r="C33" s="504">
        <v>2013</v>
      </c>
      <c r="D33" s="504">
        <v>3</v>
      </c>
      <c r="E33" s="504">
        <v>31</v>
      </c>
      <c r="F33" s="505">
        <v>18443</v>
      </c>
      <c r="G33" s="504">
        <v>0</v>
      </c>
      <c r="H33" s="505">
        <v>447929</v>
      </c>
      <c r="I33" s="504">
        <v>0</v>
      </c>
      <c r="J33" s="504">
        <v>0</v>
      </c>
      <c r="K33" s="504">
        <v>0</v>
      </c>
      <c r="L33" s="506">
        <v>103.2144</v>
      </c>
      <c r="M33" s="505">
        <v>19.600000000000001</v>
      </c>
      <c r="N33" s="507">
        <v>0</v>
      </c>
      <c r="O33" s="508">
        <v>745</v>
      </c>
      <c r="P33" s="493">
        <f t="shared" si="0"/>
        <v>745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745</v>
      </c>
      <c r="W33" s="519">
        <f t="shared" si="10"/>
        <v>26309.42915</v>
      </c>
      <c r="Y33" s="513">
        <f t="shared" si="11"/>
        <v>6.5208981389298026</v>
      </c>
      <c r="Z33" s="510">
        <f t="shared" si="12"/>
        <v>27.301696328071301</v>
      </c>
      <c r="AA33" s="511">
        <f t="shared" si="13"/>
        <v>25.876941823926625</v>
      </c>
      <c r="AE33" s="598" t="str">
        <f t="shared" si="3"/>
        <v>18443</v>
      </c>
      <c r="AF33" s="502"/>
      <c r="AG33" s="606"/>
      <c r="AH33" s="607"/>
      <c r="AI33" s="608">
        <f t="shared" si="4"/>
        <v>18443</v>
      </c>
      <c r="AJ33" s="609">
        <f t="shared" si="5"/>
        <v>18443</v>
      </c>
      <c r="AL33" s="602">
        <f t="shared" si="6"/>
        <v>0</v>
      </c>
      <c r="AM33" s="613">
        <f t="shared" si="6"/>
        <v>745</v>
      </c>
      <c r="AN33" s="611">
        <f t="shared" si="7"/>
        <v>745</v>
      </c>
      <c r="AO33" s="612">
        <f t="shared" si="8"/>
        <v>1</v>
      </c>
    </row>
    <row r="34" spans="1:41" ht="13.5" thickBot="1" x14ac:dyDescent="0.25">
      <c r="A34" s="148">
        <v>91</v>
      </c>
      <c r="B34" s="520">
        <v>0.375</v>
      </c>
      <c r="C34" s="146">
        <v>2013</v>
      </c>
      <c r="D34" s="146">
        <v>4</v>
      </c>
      <c r="E34" s="146">
        <v>1</v>
      </c>
      <c r="F34" s="521">
        <v>19188</v>
      </c>
      <c r="G34" s="146">
        <v>0</v>
      </c>
      <c r="H34" s="521">
        <v>448037</v>
      </c>
      <c r="I34" s="146">
        <v>0</v>
      </c>
      <c r="J34" s="146">
        <v>0</v>
      </c>
      <c r="K34" s="146">
        <v>0</v>
      </c>
      <c r="L34" s="522">
        <v>100.06529999999999</v>
      </c>
      <c r="M34" s="521">
        <v>21.2</v>
      </c>
      <c r="N34" s="523">
        <v>0</v>
      </c>
      <c r="O34" s="524">
        <v>1128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19188</v>
      </c>
      <c r="AF34" s="148"/>
      <c r="AG34" s="614"/>
      <c r="AH34" s="615"/>
      <c r="AI34" s="616">
        <f t="shared" si="4"/>
        <v>19188</v>
      </c>
      <c r="AJ34" s="617">
        <f t="shared" si="5"/>
        <v>19188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326.45240000000001</v>
      </c>
      <c r="M36" s="535">
        <f>MAX(M3:M34)</f>
        <v>21.5</v>
      </c>
      <c r="N36" s="533" t="s">
        <v>68</v>
      </c>
      <c r="O36" s="535">
        <f>SUM(O3:O33)</f>
        <v>27218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27218</v>
      </c>
      <c r="W36" s="539">
        <f>SUM(W3:W33)</f>
        <v>961194.68805999972</v>
      </c>
      <c r="Y36" s="540">
        <f>SUM(Y3:Y33)</f>
        <v>236.94859170732383</v>
      </c>
      <c r="Z36" s="541">
        <f>SUM(Z3:Z33)</f>
        <v>992.05636376022323</v>
      </c>
      <c r="AA36" s="542">
        <f>SUM(AA3:AA33)</f>
        <v>940.28533987774449</v>
      </c>
      <c r="AF36" s="621" t="s">
        <v>208</v>
      </c>
      <c r="AG36" s="534">
        <f>COUNT(AG3:AG34)</f>
        <v>1</v>
      </c>
      <c r="AJ36" s="622">
        <f>SUM(AJ3:AJ33)</f>
        <v>3879188</v>
      </c>
      <c r="AK36" s="623" t="s">
        <v>176</v>
      </c>
      <c r="AL36" s="624"/>
      <c r="AM36" s="624"/>
      <c r="AN36" s="622">
        <f>SUM(AN3:AN33)</f>
        <v>19188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106.27910312500001</v>
      </c>
      <c r="M37" s="543">
        <f>AVERAGE(M3:M34)</f>
        <v>16.493437500000002</v>
      </c>
      <c r="N37" s="533" t="s">
        <v>172</v>
      </c>
      <c r="O37" s="544">
        <f>O36*35.31467</f>
        <v>961194.68805999996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31</v>
      </c>
      <c r="AN37" s="627">
        <f>IFERROR(AN36/SUM(AM3:AM33),"")</f>
        <v>-3.2859259005557029E-2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98.004099999999994</v>
      </c>
      <c r="M38" s="544">
        <f>MIN(M3:M34)</f>
        <v>9.19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116.90701343750001</v>
      </c>
      <c r="M44" s="551">
        <f>M37*(1+$L$43)</f>
        <v>18.142781250000006</v>
      </c>
    </row>
    <row r="45" spans="1:41" x14ac:dyDescent="0.2">
      <c r="K45" s="550" t="s">
        <v>186</v>
      </c>
      <c r="L45" s="551">
        <f>L37*(1-$L$43)</f>
        <v>95.651192812500014</v>
      </c>
      <c r="M45" s="551">
        <f>M37*(1-$L$43)</f>
        <v>14.844093750000003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151" priority="47" stopIfTrue="1" operator="lessThan">
      <formula>$L$45</formula>
    </cfRule>
    <cfRule type="cellIs" dxfId="1150" priority="48" stopIfTrue="1" operator="greaterThan">
      <formula>$L$44</formula>
    </cfRule>
  </conditionalFormatting>
  <conditionalFormatting sqref="M3:M34">
    <cfRule type="cellIs" dxfId="1149" priority="45" stopIfTrue="1" operator="lessThan">
      <formula>$M$45</formula>
    </cfRule>
    <cfRule type="cellIs" dxfId="1148" priority="46" stopIfTrue="1" operator="greaterThan">
      <formula>$M$44</formula>
    </cfRule>
  </conditionalFormatting>
  <conditionalFormatting sqref="O3:O34">
    <cfRule type="cellIs" dxfId="1147" priority="44" stopIfTrue="1" operator="lessThan">
      <formula>0</formula>
    </cfRule>
  </conditionalFormatting>
  <conditionalFormatting sqref="O3:O33">
    <cfRule type="cellIs" dxfId="1146" priority="43" stopIfTrue="1" operator="lessThan">
      <formula>0</formula>
    </cfRule>
  </conditionalFormatting>
  <conditionalFormatting sqref="O3">
    <cfRule type="cellIs" dxfId="1145" priority="42" stopIfTrue="1" operator="notEqual">
      <formula>$P$3</formula>
    </cfRule>
  </conditionalFormatting>
  <conditionalFormatting sqref="O4">
    <cfRule type="cellIs" dxfId="1144" priority="41" stopIfTrue="1" operator="notEqual">
      <formula>P$4</formula>
    </cfRule>
  </conditionalFormatting>
  <conditionalFormatting sqref="O5">
    <cfRule type="cellIs" dxfId="1143" priority="40" stopIfTrue="1" operator="notEqual">
      <formula>$P$5</formula>
    </cfRule>
  </conditionalFormatting>
  <conditionalFormatting sqref="O6">
    <cfRule type="cellIs" dxfId="1142" priority="39" stopIfTrue="1" operator="notEqual">
      <formula>$P$6</formula>
    </cfRule>
  </conditionalFormatting>
  <conditionalFormatting sqref="O7">
    <cfRule type="cellIs" dxfId="1141" priority="38" stopIfTrue="1" operator="notEqual">
      <formula>$P$7</formula>
    </cfRule>
  </conditionalFormatting>
  <conditionalFormatting sqref="O8">
    <cfRule type="cellIs" dxfId="1140" priority="37" stopIfTrue="1" operator="notEqual">
      <formula>$P$8</formula>
    </cfRule>
  </conditionalFormatting>
  <conditionalFormatting sqref="O9">
    <cfRule type="cellIs" dxfId="1139" priority="36" stopIfTrue="1" operator="notEqual">
      <formula>$P$9</formula>
    </cfRule>
  </conditionalFormatting>
  <conditionalFormatting sqref="O10">
    <cfRule type="cellIs" dxfId="1138" priority="34" stopIfTrue="1" operator="notEqual">
      <formula>$P$10</formula>
    </cfRule>
    <cfRule type="cellIs" dxfId="1137" priority="35" stopIfTrue="1" operator="greaterThan">
      <formula>$P$10</formula>
    </cfRule>
  </conditionalFormatting>
  <conditionalFormatting sqref="O11">
    <cfRule type="cellIs" dxfId="1136" priority="32" stopIfTrue="1" operator="notEqual">
      <formula>$P$11</formula>
    </cfRule>
    <cfRule type="cellIs" dxfId="1135" priority="33" stopIfTrue="1" operator="greaterThan">
      <formula>$P$11</formula>
    </cfRule>
  </conditionalFormatting>
  <conditionalFormatting sqref="O12">
    <cfRule type="cellIs" dxfId="1134" priority="31" stopIfTrue="1" operator="notEqual">
      <formula>$P$12</formula>
    </cfRule>
  </conditionalFormatting>
  <conditionalFormatting sqref="O14">
    <cfRule type="cellIs" dxfId="1133" priority="30" stopIfTrue="1" operator="notEqual">
      <formula>$P$14</formula>
    </cfRule>
  </conditionalFormatting>
  <conditionalFormatting sqref="O15">
    <cfRule type="cellIs" dxfId="1132" priority="29" stopIfTrue="1" operator="notEqual">
      <formula>$P$15</formula>
    </cfRule>
  </conditionalFormatting>
  <conditionalFormatting sqref="O16">
    <cfRule type="cellIs" dxfId="1131" priority="28" stopIfTrue="1" operator="notEqual">
      <formula>$P$16</formula>
    </cfRule>
  </conditionalFormatting>
  <conditionalFormatting sqref="O17">
    <cfRule type="cellIs" dxfId="1130" priority="27" stopIfTrue="1" operator="notEqual">
      <formula>$P$17</formula>
    </cfRule>
  </conditionalFormatting>
  <conditionalFormatting sqref="O18">
    <cfRule type="cellIs" dxfId="1129" priority="26" stopIfTrue="1" operator="notEqual">
      <formula>$P$18</formula>
    </cfRule>
  </conditionalFormatting>
  <conditionalFormatting sqref="O19">
    <cfRule type="cellIs" dxfId="1128" priority="24" stopIfTrue="1" operator="notEqual">
      <formula>$P$19</formula>
    </cfRule>
    <cfRule type="cellIs" dxfId="1127" priority="25" stopIfTrue="1" operator="greaterThan">
      <formula>$P$19</formula>
    </cfRule>
  </conditionalFormatting>
  <conditionalFormatting sqref="O20">
    <cfRule type="cellIs" dxfId="1126" priority="22" stopIfTrue="1" operator="notEqual">
      <formula>$P$20</formula>
    </cfRule>
    <cfRule type="cellIs" dxfId="1125" priority="23" stopIfTrue="1" operator="greaterThan">
      <formula>$P$20</formula>
    </cfRule>
  </conditionalFormatting>
  <conditionalFormatting sqref="O21">
    <cfRule type="cellIs" dxfId="1124" priority="21" stopIfTrue="1" operator="notEqual">
      <formula>$P$21</formula>
    </cfRule>
  </conditionalFormatting>
  <conditionalFormatting sqref="O22">
    <cfRule type="cellIs" dxfId="1123" priority="20" stopIfTrue="1" operator="notEqual">
      <formula>$P$22</formula>
    </cfRule>
  </conditionalFormatting>
  <conditionalFormatting sqref="O23">
    <cfRule type="cellIs" dxfId="1122" priority="19" stopIfTrue="1" operator="notEqual">
      <formula>$P$23</formula>
    </cfRule>
  </conditionalFormatting>
  <conditionalFormatting sqref="O24">
    <cfRule type="cellIs" dxfId="1121" priority="17" stopIfTrue="1" operator="notEqual">
      <formula>$P$24</formula>
    </cfRule>
    <cfRule type="cellIs" dxfId="1120" priority="18" stopIfTrue="1" operator="greaterThan">
      <formula>$P$24</formula>
    </cfRule>
  </conditionalFormatting>
  <conditionalFormatting sqref="O25">
    <cfRule type="cellIs" dxfId="1119" priority="15" stopIfTrue="1" operator="notEqual">
      <formula>$P$25</formula>
    </cfRule>
    <cfRule type="cellIs" dxfId="1118" priority="16" stopIfTrue="1" operator="greaterThan">
      <formula>$P$25</formula>
    </cfRule>
  </conditionalFormatting>
  <conditionalFormatting sqref="O26">
    <cfRule type="cellIs" dxfId="1117" priority="14" stopIfTrue="1" operator="notEqual">
      <formula>$P$26</formula>
    </cfRule>
  </conditionalFormatting>
  <conditionalFormatting sqref="O27">
    <cfRule type="cellIs" dxfId="1116" priority="13" stopIfTrue="1" operator="notEqual">
      <formula>$P$27</formula>
    </cfRule>
  </conditionalFormatting>
  <conditionalFormatting sqref="O28">
    <cfRule type="cellIs" dxfId="1115" priority="12" stopIfTrue="1" operator="notEqual">
      <formula>$P$28</formula>
    </cfRule>
  </conditionalFormatting>
  <conditionalFormatting sqref="O29">
    <cfRule type="cellIs" dxfId="1114" priority="11" stopIfTrue="1" operator="notEqual">
      <formula>$P$29</formula>
    </cfRule>
  </conditionalFormatting>
  <conditionalFormatting sqref="O30">
    <cfRule type="cellIs" dxfId="1113" priority="10" stopIfTrue="1" operator="notEqual">
      <formula>$P$30</formula>
    </cfRule>
  </conditionalFormatting>
  <conditionalFormatting sqref="O31">
    <cfRule type="cellIs" dxfId="1112" priority="8" stopIfTrue="1" operator="notEqual">
      <formula>$P$31</formula>
    </cfRule>
    <cfRule type="cellIs" dxfId="1111" priority="9" stopIfTrue="1" operator="greaterThan">
      <formula>$P$31</formula>
    </cfRule>
  </conditionalFormatting>
  <conditionalFormatting sqref="O32">
    <cfRule type="cellIs" dxfId="1110" priority="6" stopIfTrue="1" operator="notEqual">
      <formula>$P$32</formula>
    </cfRule>
    <cfRule type="cellIs" dxfId="1109" priority="7" stopIfTrue="1" operator="greaterThan">
      <formula>$P$32</formula>
    </cfRule>
  </conditionalFormatting>
  <conditionalFormatting sqref="O33">
    <cfRule type="cellIs" dxfId="1108" priority="5" stopIfTrue="1" operator="notEqual">
      <formula>$P$33</formula>
    </cfRule>
  </conditionalFormatting>
  <conditionalFormatting sqref="O13">
    <cfRule type="cellIs" dxfId="1107" priority="4" stopIfTrue="1" operator="notEqual">
      <formula>$P$13</formula>
    </cfRule>
  </conditionalFormatting>
  <conditionalFormatting sqref="AG3:AG34">
    <cfRule type="cellIs" dxfId="1106" priority="3" stopIfTrue="1" operator="notEqual">
      <formula>E3</formula>
    </cfRule>
  </conditionalFormatting>
  <conditionalFormatting sqref="AH3:AH34">
    <cfRule type="cellIs" dxfId="1105" priority="2" stopIfTrue="1" operator="notBetween">
      <formula>AI3+$AG$40</formula>
      <formula>AI3-$AG$40</formula>
    </cfRule>
  </conditionalFormatting>
  <conditionalFormatting sqref="AL3:AL33">
    <cfRule type="cellIs" dxfId="110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89</v>
      </c>
      <c r="B3" s="487">
        <v>0.375</v>
      </c>
      <c r="C3" s="488">
        <v>2013</v>
      </c>
      <c r="D3" s="488">
        <v>3</v>
      </c>
      <c r="E3" s="488">
        <v>1</v>
      </c>
      <c r="F3" s="489">
        <v>546470</v>
      </c>
      <c r="G3" s="488">
        <v>0</v>
      </c>
      <c r="H3" s="489">
        <v>214269</v>
      </c>
      <c r="I3" s="488">
        <v>0</v>
      </c>
      <c r="J3" s="488">
        <v>4</v>
      </c>
      <c r="K3" s="488">
        <v>0</v>
      </c>
      <c r="L3" s="490">
        <v>312.38909999999998</v>
      </c>
      <c r="M3" s="489">
        <v>19.100000000000001</v>
      </c>
      <c r="N3" s="491">
        <v>0</v>
      </c>
      <c r="O3" s="492">
        <v>7380</v>
      </c>
      <c r="P3" s="493">
        <f>F4-F3</f>
        <v>7380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7380</v>
      </c>
      <c r="W3" s="498">
        <f>V3*35.31467</f>
        <v>260622.26459999999</v>
      </c>
      <c r="X3" s="497"/>
      <c r="Y3" s="499">
        <f>V3*R3/1000000</f>
        <v>63.65042778076706</v>
      </c>
      <c r="Z3" s="500">
        <f>S3*V3/1000000</f>
        <v>266.49161103251555</v>
      </c>
      <c r="AA3" s="501">
        <f>W3*T3/1000000</f>
        <v>252.58459519830311</v>
      </c>
      <c r="AE3" s="598" t="str">
        <f>RIGHT(F3,6)</f>
        <v>546470</v>
      </c>
      <c r="AF3" s="486">
        <v>89</v>
      </c>
      <c r="AG3" s="491">
        <v>1</v>
      </c>
      <c r="AH3" s="599">
        <v>546472</v>
      </c>
      <c r="AI3" s="600">
        <f>IFERROR(AE3*1,0)</f>
        <v>546470</v>
      </c>
      <c r="AJ3" s="601">
        <f>(AI3-AH3)</f>
        <v>-2</v>
      </c>
      <c r="AL3" s="602">
        <f>AH4-AH3</f>
        <v>7382</v>
      </c>
      <c r="AM3" s="603">
        <f>AI4-AI3</f>
        <v>7380</v>
      </c>
      <c r="AN3" s="604">
        <f>(AM3-AL3)</f>
        <v>-2</v>
      </c>
      <c r="AO3" s="605">
        <f>IFERROR(AN3/AM3,"")</f>
        <v>-2.7100271002710027E-4</v>
      </c>
    </row>
    <row r="4" spans="1:41" x14ac:dyDescent="0.2">
      <c r="A4" s="502">
        <v>89</v>
      </c>
      <c r="B4" s="503">
        <v>0.375</v>
      </c>
      <c r="C4" s="504">
        <v>2013</v>
      </c>
      <c r="D4" s="504">
        <v>3</v>
      </c>
      <c r="E4" s="504">
        <v>2</v>
      </c>
      <c r="F4" s="505">
        <v>553850</v>
      </c>
      <c r="G4" s="504">
        <v>0</v>
      </c>
      <c r="H4" s="505">
        <v>214586</v>
      </c>
      <c r="I4" s="504">
        <v>0</v>
      </c>
      <c r="J4" s="504">
        <v>4</v>
      </c>
      <c r="K4" s="504">
        <v>0</v>
      </c>
      <c r="L4" s="506">
        <v>312.55070000000001</v>
      </c>
      <c r="M4" s="505">
        <v>16.100000000000001</v>
      </c>
      <c r="N4" s="507">
        <v>0</v>
      </c>
      <c r="O4" s="508">
        <v>4009</v>
      </c>
      <c r="P4" s="493">
        <f t="shared" ref="P4:P33" si="0">F5-F4</f>
        <v>4009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4009</v>
      </c>
      <c r="W4" s="512">
        <f>V4*35.31467</f>
        <v>141576.51203000001</v>
      </c>
      <c r="X4" s="497"/>
      <c r="Y4" s="513">
        <f>V4*R4/1000000</f>
        <v>34.546210168174817</v>
      </c>
      <c r="Z4" s="510">
        <f>S4*V4/1000000</f>
        <v>144.63807273211432</v>
      </c>
      <c r="AA4" s="511">
        <f>W4*T4/1000000</f>
        <v>137.09005289043137</v>
      </c>
      <c r="AE4" s="598" t="str">
        <f t="shared" ref="AE4:AE34" si="3">RIGHT(F4,6)</f>
        <v>553850</v>
      </c>
      <c r="AF4" s="502">
        <v>89</v>
      </c>
      <c r="AG4" s="606">
        <v>2</v>
      </c>
      <c r="AH4" s="607">
        <v>553854</v>
      </c>
      <c r="AI4" s="608">
        <f t="shared" ref="AI4:AI34" si="4">IFERROR(AE4*1,0)</f>
        <v>553850</v>
      </c>
      <c r="AJ4" s="609">
        <f t="shared" ref="AJ4:AJ34" si="5">(AI4-AH4)</f>
        <v>-4</v>
      </c>
      <c r="AL4" s="602">
        <f t="shared" ref="AL4:AM33" si="6">AH5-AH4</f>
        <v>4004</v>
      </c>
      <c r="AM4" s="610">
        <f t="shared" si="6"/>
        <v>4009</v>
      </c>
      <c r="AN4" s="611">
        <f t="shared" ref="AN4:AN33" si="7">(AM4-AL4)</f>
        <v>5</v>
      </c>
      <c r="AO4" s="612">
        <f t="shared" ref="AO4:AO33" si="8">IFERROR(AN4/AM4,"")</f>
        <v>1.2471938139186831E-3</v>
      </c>
    </row>
    <row r="5" spans="1:41" x14ac:dyDescent="0.2">
      <c r="A5" s="502">
        <v>89</v>
      </c>
      <c r="B5" s="503">
        <v>0.375</v>
      </c>
      <c r="C5" s="504">
        <v>2013</v>
      </c>
      <c r="D5" s="504">
        <v>3</v>
      </c>
      <c r="E5" s="504">
        <v>3</v>
      </c>
      <c r="F5" s="505">
        <v>557859</v>
      </c>
      <c r="G5" s="504">
        <v>0</v>
      </c>
      <c r="H5" s="505">
        <v>214754</v>
      </c>
      <c r="I5" s="504">
        <v>0</v>
      </c>
      <c r="J5" s="504">
        <v>4</v>
      </c>
      <c r="K5" s="504">
        <v>0</v>
      </c>
      <c r="L5" s="506">
        <v>318.50830000000002</v>
      </c>
      <c r="M5" s="505">
        <v>11.6</v>
      </c>
      <c r="N5" s="507">
        <v>0</v>
      </c>
      <c r="O5" s="508">
        <v>619</v>
      </c>
      <c r="P5" s="493">
        <f t="shared" si="0"/>
        <v>619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619</v>
      </c>
      <c r="W5" s="512">
        <f t="shared" ref="W5:W33" si="10">V5*35.31467</f>
        <v>21859.780729999999</v>
      </c>
      <c r="X5" s="497"/>
      <c r="Y5" s="513">
        <f t="shared" ref="Y5:Y33" si="11">V5*R5/1000000</f>
        <v>5.3482697972807065</v>
      </c>
      <c r="Z5" s="510">
        <f t="shared" ref="Z5:Z33" si="12">S5*V5/1000000</f>
        <v>22.392135987254864</v>
      </c>
      <c r="AA5" s="511">
        <f t="shared" ref="AA5:AA33" si="13">W5*T5/1000000</f>
        <v>21.223589673432642</v>
      </c>
      <c r="AE5" s="598" t="str">
        <f t="shared" si="3"/>
        <v>557859</v>
      </c>
      <c r="AF5" s="502">
        <v>89</v>
      </c>
      <c r="AG5" s="606">
        <v>3</v>
      </c>
      <c r="AH5" s="607">
        <v>557858</v>
      </c>
      <c r="AI5" s="608">
        <f t="shared" si="4"/>
        <v>557859</v>
      </c>
      <c r="AJ5" s="609">
        <f t="shared" si="5"/>
        <v>1</v>
      </c>
      <c r="AL5" s="602">
        <f t="shared" si="6"/>
        <v>621</v>
      </c>
      <c r="AM5" s="610">
        <f t="shared" si="6"/>
        <v>619</v>
      </c>
      <c r="AN5" s="611">
        <f t="shared" si="7"/>
        <v>-2</v>
      </c>
      <c r="AO5" s="612">
        <f t="shared" si="8"/>
        <v>-3.2310177705977385E-3</v>
      </c>
    </row>
    <row r="6" spans="1:41" x14ac:dyDescent="0.2">
      <c r="A6" s="502">
        <v>89</v>
      </c>
      <c r="B6" s="503">
        <v>0.375</v>
      </c>
      <c r="C6" s="504">
        <v>2013</v>
      </c>
      <c r="D6" s="504">
        <v>3</v>
      </c>
      <c r="E6" s="504">
        <v>4</v>
      </c>
      <c r="F6" s="505">
        <v>558478</v>
      </c>
      <c r="G6" s="504">
        <v>0</v>
      </c>
      <c r="H6" s="505">
        <v>214780</v>
      </c>
      <c r="I6" s="504">
        <v>0</v>
      </c>
      <c r="J6" s="504">
        <v>4</v>
      </c>
      <c r="K6" s="504">
        <v>0</v>
      </c>
      <c r="L6" s="506">
        <v>319.18700000000001</v>
      </c>
      <c r="M6" s="505">
        <v>13.1</v>
      </c>
      <c r="N6" s="507">
        <v>0</v>
      </c>
      <c r="O6" s="508">
        <v>5907</v>
      </c>
      <c r="P6" s="493">
        <f t="shared" si="0"/>
        <v>5907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5907</v>
      </c>
      <c r="W6" s="512">
        <f t="shared" si="10"/>
        <v>208603.75568999999</v>
      </c>
      <c r="X6" s="497"/>
      <c r="Y6" s="513">
        <f t="shared" si="11"/>
        <v>51.219808836046319</v>
      </c>
      <c r="Z6" s="510">
        <f t="shared" si="12"/>
        <v>214.44709563475868</v>
      </c>
      <c r="AA6" s="511">
        <f t="shared" si="13"/>
        <v>203.25605234811064</v>
      </c>
      <c r="AE6" s="598" t="str">
        <f t="shared" si="3"/>
        <v>558478</v>
      </c>
      <c r="AF6" s="502">
        <v>89</v>
      </c>
      <c r="AG6" s="606">
        <v>4</v>
      </c>
      <c r="AH6" s="607">
        <v>558479</v>
      </c>
      <c r="AI6" s="608">
        <f t="shared" si="4"/>
        <v>558478</v>
      </c>
      <c r="AJ6" s="609">
        <f t="shared" si="5"/>
        <v>-1</v>
      </c>
      <c r="AL6" s="602">
        <f t="shared" si="6"/>
        <v>5912</v>
      </c>
      <c r="AM6" s="610">
        <f t="shared" si="6"/>
        <v>5907</v>
      </c>
      <c r="AN6" s="611">
        <f t="shared" si="7"/>
        <v>-5</v>
      </c>
      <c r="AO6" s="612">
        <f t="shared" si="8"/>
        <v>-8.4645336041984083E-4</v>
      </c>
    </row>
    <row r="7" spans="1:41" x14ac:dyDescent="0.2">
      <c r="A7" s="502">
        <v>89</v>
      </c>
      <c r="B7" s="503">
        <v>0.375</v>
      </c>
      <c r="C7" s="504">
        <v>2013</v>
      </c>
      <c r="D7" s="504">
        <v>3</v>
      </c>
      <c r="E7" s="504">
        <v>5</v>
      </c>
      <c r="F7" s="505">
        <v>564385</v>
      </c>
      <c r="G7" s="504">
        <v>0</v>
      </c>
      <c r="H7" s="505">
        <v>215037</v>
      </c>
      <c r="I7" s="504">
        <v>0</v>
      </c>
      <c r="J7" s="504">
        <v>4</v>
      </c>
      <c r="K7" s="504">
        <v>0</v>
      </c>
      <c r="L7" s="506">
        <v>309.8954</v>
      </c>
      <c r="M7" s="505">
        <v>16.8</v>
      </c>
      <c r="N7" s="507">
        <v>0</v>
      </c>
      <c r="O7" s="508">
        <v>6557</v>
      </c>
      <c r="P7" s="493">
        <f t="shared" si="0"/>
        <v>6557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6557</v>
      </c>
      <c r="W7" s="512">
        <f t="shared" si="10"/>
        <v>231558.29118999999</v>
      </c>
      <c r="X7" s="497"/>
      <c r="Y7" s="513">
        <f t="shared" si="11"/>
        <v>56.808553411495097</v>
      </c>
      <c r="Z7" s="510">
        <f t="shared" si="12"/>
        <v>237.84605142324764</v>
      </c>
      <c r="AA7" s="511">
        <f t="shared" si="13"/>
        <v>225.43392036053882</v>
      </c>
      <c r="AE7" s="598" t="str">
        <f t="shared" si="3"/>
        <v>564385</v>
      </c>
      <c r="AF7" s="502">
        <v>89</v>
      </c>
      <c r="AG7" s="606">
        <v>5</v>
      </c>
      <c r="AH7" s="607">
        <v>564391</v>
      </c>
      <c r="AI7" s="608">
        <f t="shared" si="4"/>
        <v>564385</v>
      </c>
      <c r="AJ7" s="609">
        <f t="shared" si="5"/>
        <v>-6</v>
      </c>
      <c r="AL7" s="602">
        <f t="shared" si="6"/>
        <v>6558</v>
      </c>
      <c r="AM7" s="610">
        <f t="shared" si="6"/>
        <v>6557</v>
      </c>
      <c r="AN7" s="611">
        <f t="shared" si="7"/>
        <v>-1</v>
      </c>
      <c r="AO7" s="612">
        <f t="shared" si="8"/>
        <v>-1.5250876925423213E-4</v>
      </c>
    </row>
    <row r="8" spans="1:41" x14ac:dyDescent="0.2">
      <c r="A8" s="502">
        <v>89</v>
      </c>
      <c r="B8" s="503">
        <v>0.375</v>
      </c>
      <c r="C8" s="504">
        <v>2013</v>
      </c>
      <c r="D8" s="504">
        <v>3</v>
      </c>
      <c r="E8" s="504">
        <v>6</v>
      </c>
      <c r="F8" s="505">
        <v>570942</v>
      </c>
      <c r="G8" s="504">
        <v>0</v>
      </c>
      <c r="H8" s="505">
        <v>215314</v>
      </c>
      <c r="I8" s="504">
        <v>0</v>
      </c>
      <c r="J8" s="504">
        <v>4</v>
      </c>
      <c r="K8" s="504">
        <v>0</v>
      </c>
      <c r="L8" s="506">
        <v>319.75869999999998</v>
      </c>
      <c r="M8" s="505">
        <v>17.2</v>
      </c>
      <c r="N8" s="507">
        <v>0</v>
      </c>
      <c r="O8" s="508">
        <v>7109</v>
      </c>
      <c r="P8" s="493">
        <f t="shared" si="0"/>
        <v>7109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7109</v>
      </c>
      <c r="W8" s="512">
        <f t="shared" si="10"/>
        <v>251051.98903</v>
      </c>
      <c r="X8" s="497"/>
      <c r="Y8" s="513">
        <f t="shared" si="11"/>
        <v>61.686573979511003</v>
      </c>
      <c r="Z8" s="510">
        <f t="shared" si="12"/>
        <v>258.26934793741663</v>
      </c>
      <c r="AA8" s="511">
        <f t="shared" si="13"/>
        <v>244.79141556520727</v>
      </c>
      <c r="AE8" s="598" t="str">
        <f t="shared" si="3"/>
        <v>570942</v>
      </c>
      <c r="AF8" s="502">
        <v>89</v>
      </c>
      <c r="AG8" s="606">
        <v>6</v>
      </c>
      <c r="AH8" s="607">
        <v>570949</v>
      </c>
      <c r="AI8" s="608">
        <f t="shared" si="4"/>
        <v>570942</v>
      </c>
      <c r="AJ8" s="609">
        <f t="shared" si="5"/>
        <v>-7</v>
      </c>
      <c r="AL8" s="602">
        <f t="shared" si="6"/>
        <v>7114</v>
      </c>
      <c r="AM8" s="610">
        <f t="shared" si="6"/>
        <v>7109</v>
      </c>
      <c r="AN8" s="611">
        <f t="shared" si="7"/>
        <v>-5</v>
      </c>
      <c r="AO8" s="612">
        <f t="shared" si="8"/>
        <v>-7.0333380222253482E-4</v>
      </c>
    </row>
    <row r="9" spans="1:41" x14ac:dyDescent="0.2">
      <c r="A9" s="502">
        <v>89</v>
      </c>
      <c r="B9" s="503">
        <v>0.375</v>
      </c>
      <c r="C9" s="504">
        <v>2013</v>
      </c>
      <c r="D9" s="504">
        <v>3</v>
      </c>
      <c r="E9" s="504">
        <v>7</v>
      </c>
      <c r="F9" s="505">
        <v>578051</v>
      </c>
      <c r="G9" s="504">
        <v>0</v>
      </c>
      <c r="H9" s="505">
        <v>215610</v>
      </c>
      <c r="I9" s="504">
        <v>0</v>
      </c>
      <c r="J9" s="504">
        <v>4</v>
      </c>
      <c r="K9" s="504">
        <v>0</v>
      </c>
      <c r="L9" s="506">
        <v>323.2328</v>
      </c>
      <c r="M9" s="505">
        <v>17.5</v>
      </c>
      <c r="N9" s="507">
        <v>0</v>
      </c>
      <c r="O9" s="508">
        <v>7269</v>
      </c>
      <c r="P9" s="493">
        <f t="shared" si="0"/>
        <v>7269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7269</v>
      </c>
      <c r="W9" s="512">
        <f t="shared" si="10"/>
        <v>256702.33622999999</v>
      </c>
      <c r="X9" s="497"/>
      <c r="Y9" s="513">
        <f t="shared" si="11"/>
        <v>63.125619525750686</v>
      </c>
      <c r="Z9" s="510">
        <f t="shared" si="12"/>
        <v>264.29434383041297</v>
      </c>
      <c r="AA9" s="511">
        <f t="shared" si="13"/>
        <v>250.50199363108956</v>
      </c>
      <c r="AE9" s="598" t="str">
        <f t="shared" si="3"/>
        <v>578051</v>
      </c>
      <c r="AF9" s="502">
        <v>89</v>
      </c>
      <c r="AG9" s="606">
        <v>7</v>
      </c>
      <c r="AH9" s="607">
        <v>578063</v>
      </c>
      <c r="AI9" s="608">
        <f t="shared" si="4"/>
        <v>578051</v>
      </c>
      <c r="AJ9" s="609">
        <f t="shared" si="5"/>
        <v>-12</v>
      </c>
      <c r="AL9" s="602">
        <f t="shared" si="6"/>
        <v>7268</v>
      </c>
      <c r="AM9" s="610">
        <f t="shared" si="6"/>
        <v>7269</v>
      </c>
      <c r="AN9" s="611">
        <f t="shared" si="7"/>
        <v>1</v>
      </c>
      <c r="AO9" s="612">
        <f t="shared" si="8"/>
        <v>1.3757050488375291E-4</v>
      </c>
    </row>
    <row r="10" spans="1:41" x14ac:dyDescent="0.2">
      <c r="A10" s="502">
        <v>89</v>
      </c>
      <c r="B10" s="503">
        <v>0.375</v>
      </c>
      <c r="C10" s="504">
        <v>2013</v>
      </c>
      <c r="D10" s="504">
        <v>3</v>
      </c>
      <c r="E10" s="504">
        <v>8</v>
      </c>
      <c r="F10" s="505">
        <v>585320</v>
      </c>
      <c r="G10" s="504">
        <v>0</v>
      </c>
      <c r="H10" s="505">
        <v>215915</v>
      </c>
      <c r="I10" s="504">
        <v>0</v>
      </c>
      <c r="J10" s="504">
        <v>4</v>
      </c>
      <c r="K10" s="504">
        <v>0</v>
      </c>
      <c r="L10" s="506">
        <v>322.23910000000001</v>
      </c>
      <c r="M10" s="505">
        <v>18.5</v>
      </c>
      <c r="N10" s="507">
        <v>0</v>
      </c>
      <c r="O10" s="508">
        <v>5276</v>
      </c>
      <c r="P10" s="493">
        <f t="shared" si="0"/>
        <v>5276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5276</v>
      </c>
      <c r="W10" s="512">
        <f t="shared" si="10"/>
        <v>186320.19892</v>
      </c>
      <c r="X10" s="497"/>
      <c r="Y10" s="513">
        <f t="shared" si="11"/>
        <v>45.797830701235725</v>
      </c>
      <c r="Z10" s="510">
        <f t="shared" si="12"/>
        <v>191.74635757993377</v>
      </c>
      <c r="AA10" s="511">
        <f t="shared" si="13"/>
        <v>181.73996518099506</v>
      </c>
      <c r="AE10" s="598" t="str">
        <f t="shared" si="3"/>
        <v>585320</v>
      </c>
      <c r="AF10" s="502">
        <v>89</v>
      </c>
      <c r="AG10" s="606">
        <v>8</v>
      </c>
      <c r="AH10" s="607">
        <v>585331</v>
      </c>
      <c r="AI10" s="608">
        <f t="shared" si="4"/>
        <v>585320</v>
      </c>
      <c r="AJ10" s="609">
        <f t="shared" si="5"/>
        <v>-11</v>
      </c>
      <c r="AL10" s="602">
        <f t="shared" si="6"/>
        <v>5267</v>
      </c>
      <c r="AM10" s="610">
        <f t="shared" si="6"/>
        <v>5276</v>
      </c>
      <c r="AN10" s="611">
        <f t="shared" si="7"/>
        <v>9</v>
      </c>
      <c r="AO10" s="612">
        <f t="shared" si="8"/>
        <v>1.7058377558756635E-3</v>
      </c>
    </row>
    <row r="11" spans="1:41" x14ac:dyDescent="0.2">
      <c r="A11" s="502">
        <v>89</v>
      </c>
      <c r="B11" s="503">
        <v>0.375</v>
      </c>
      <c r="C11" s="504">
        <v>2013</v>
      </c>
      <c r="D11" s="504">
        <v>3</v>
      </c>
      <c r="E11" s="504">
        <v>9</v>
      </c>
      <c r="F11" s="505">
        <v>590596</v>
      </c>
      <c r="G11" s="504">
        <v>0</v>
      </c>
      <c r="H11" s="505">
        <v>216137</v>
      </c>
      <c r="I11" s="504">
        <v>0</v>
      </c>
      <c r="J11" s="504">
        <v>4</v>
      </c>
      <c r="K11" s="504">
        <v>0</v>
      </c>
      <c r="L11" s="506">
        <v>322.24810000000002</v>
      </c>
      <c r="M11" s="505">
        <v>18.7</v>
      </c>
      <c r="N11" s="507">
        <v>0</v>
      </c>
      <c r="O11" s="508">
        <v>2742</v>
      </c>
      <c r="P11" s="493">
        <f t="shared" si="0"/>
        <v>2742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2742</v>
      </c>
      <c r="W11" s="515">
        <f t="shared" si="10"/>
        <v>96832.825140000001</v>
      </c>
      <c r="Y11" s="513">
        <f t="shared" si="11"/>
        <v>23.818651134859206</v>
      </c>
      <c r="Z11" s="510">
        <f t="shared" si="12"/>
        <v>99.723928571428502</v>
      </c>
      <c r="AA11" s="511">
        <f t="shared" si="13"/>
        <v>94.519778811068846</v>
      </c>
      <c r="AE11" s="598" t="str">
        <f t="shared" si="3"/>
        <v>590596</v>
      </c>
      <c r="AF11" s="502">
        <v>89</v>
      </c>
      <c r="AG11" s="606">
        <v>9</v>
      </c>
      <c r="AH11" s="607">
        <v>590598</v>
      </c>
      <c r="AI11" s="608">
        <f t="shared" si="4"/>
        <v>590596</v>
      </c>
      <c r="AJ11" s="609">
        <f t="shared" si="5"/>
        <v>-2</v>
      </c>
      <c r="AL11" s="602">
        <f t="shared" si="6"/>
        <v>2739</v>
      </c>
      <c r="AM11" s="610">
        <f t="shared" si="6"/>
        <v>2742</v>
      </c>
      <c r="AN11" s="611">
        <f t="shared" si="7"/>
        <v>3</v>
      </c>
      <c r="AO11" s="612">
        <f t="shared" si="8"/>
        <v>1.0940919037199124E-3</v>
      </c>
    </row>
    <row r="12" spans="1:41" x14ac:dyDescent="0.2">
      <c r="A12" s="502">
        <v>89</v>
      </c>
      <c r="B12" s="503">
        <v>0.375</v>
      </c>
      <c r="C12" s="504">
        <v>2013</v>
      </c>
      <c r="D12" s="504">
        <v>3</v>
      </c>
      <c r="E12" s="504">
        <v>10</v>
      </c>
      <c r="F12" s="505">
        <v>593338</v>
      </c>
      <c r="G12" s="504">
        <v>0</v>
      </c>
      <c r="H12" s="505">
        <v>216250</v>
      </c>
      <c r="I12" s="504">
        <v>0</v>
      </c>
      <c r="J12" s="504">
        <v>4</v>
      </c>
      <c r="K12" s="504">
        <v>0</v>
      </c>
      <c r="L12" s="506">
        <v>328.6893</v>
      </c>
      <c r="M12" s="505">
        <v>19.3</v>
      </c>
      <c r="N12" s="507">
        <v>0</v>
      </c>
      <c r="O12" s="508">
        <v>1129</v>
      </c>
      <c r="P12" s="493">
        <f t="shared" si="0"/>
        <v>1129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1129</v>
      </c>
      <c r="W12" s="515">
        <f t="shared" si="10"/>
        <v>39870.262430000002</v>
      </c>
      <c r="Y12" s="513">
        <f t="shared" si="11"/>
        <v>9.8210520465128717</v>
      </c>
      <c r="Z12" s="510">
        <f t="shared" si="12"/>
        <v>41.118780708340097</v>
      </c>
      <c r="AA12" s="511">
        <f t="shared" si="13"/>
        <v>38.972973820915698</v>
      </c>
      <c r="AE12" s="598" t="str">
        <f t="shared" si="3"/>
        <v>593338</v>
      </c>
      <c r="AF12" s="502">
        <v>89</v>
      </c>
      <c r="AG12" s="606">
        <v>10</v>
      </c>
      <c r="AH12" s="607">
        <v>593337</v>
      </c>
      <c r="AI12" s="608">
        <f t="shared" si="4"/>
        <v>593338</v>
      </c>
      <c r="AJ12" s="609">
        <f t="shared" si="5"/>
        <v>1</v>
      </c>
      <c r="AL12" s="602">
        <f t="shared" si="6"/>
        <v>-593337</v>
      </c>
      <c r="AM12" s="610">
        <f t="shared" si="6"/>
        <v>1129</v>
      </c>
      <c r="AN12" s="611">
        <f t="shared" si="7"/>
        <v>594466</v>
      </c>
      <c r="AO12" s="612">
        <f t="shared" si="8"/>
        <v>526.54207263064654</v>
      </c>
    </row>
    <row r="13" spans="1:41" x14ac:dyDescent="0.2">
      <c r="A13" s="502">
        <v>89</v>
      </c>
      <c r="B13" s="503">
        <v>0.375</v>
      </c>
      <c r="C13" s="504">
        <v>2013</v>
      </c>
      <c r="D13" s="504">
        <v>3</v>
      </c>
      <c r="E13" s="504">
        <v>11</v>
      </c>
      <c r="F13" s="505">
        <v>594467</v>
      </c>
      <c r="G13" s="504">
        <v>0</v>
      </c>
      <c r="H13" s="505">
        <v>216298</v>
      </c>
      <c r="I13" s="504">
        <v>0</v>
      </c>
      <c r="J13" s="504">
        <v>4</v>
      </c>
      <c r="K13" s="504">
        <v>0</v>
      </c>
      <c r="L13" s="506">
        <v>328.10250000000002</v>
      </c>
      <c r="M13" s="505">
        <v>18.100000000000001</v>
      </c>
      <c r="N13" s="507">
        <v>0</v>
      </c>
      <c r="O13" s="508">
        <v>5841</v>
      </c>
      <c r="P13" s="493">
        <f t="shared" si="0"/>
        <v>5841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5841</v>
      </c>
      <c r="W13" s="515">
        <f t="shared" si="10"/>
        <v>206272.98746999999</v>
      </c>
      <c r="Y13" s="513">
        <f t="shared" si="11"/>
        <v>50.722247547699681</v>
      </c>
      <c r="Z13" s="510">
        <f t="shared" si="12"/>
        <v>212.363906032709</v>
      </c>
      <c r="AA13" s="511">
        <f t="shared" si="13"/>
        <v>201.28157517670419</v>
      </c>
      <c r="AE13" s="598" t="str">
        <f t="shared" si="3"/>
        <v>594467</v>
      </c>
      <c r="AF13" s="502"/>
      <c r="AG13" s="606"/>
      <c r="AH13" s="607"/>
      <c r="AI13" s="608">
        <f t="shared" si="4"/>
        <v>594467</v>
      </c>
      <c r="AJ13" s="609">
        <f t="shared" si="5"/>
        <v>594467</v>
      </c>
      <c r="AL13" s="602">
        <f t="shared" si="6"/>
        <v>0</v>
      </c>
      <c r="AM13" s="610">
        <f t="shared" si="6"/>
        <v>5841</v>
      </c>
      <c r="AN13" s="611">
        <f t="shared" si="7"/>
        <v>5841</v>
      </c>
      <c r="AO13" s="612">
        <f t="shared" si="8"/>
        <v>1</v>
      </c>
    </row>
    <row r="14" spans="1:41" x14ac:dyDescent="0.2">
      <c r="A14" s="502">
        <v>89</v>
      </c>
      <c r="B14" s="503">
        <v>0.375</v>
      </c>
      <c r="C14" s="504">
        <v>2013</v>
      </c>
      <c r="D14" s="504">
        <v>3</v>
      </c>
      <c r="E14" s="504">
        <v>12</v>
      </c>
      <c r="F14" s="505">
        <v>600308</v>
      </c>
      <c r="G14" s="504">
        <v>0</v>
      </c>
      <c r="H14" s="505">
        <v>216542</v>
      </c>
      <c r="I14" s="504">
        <v>0</v>
      </c>
      <c r="J14" s="504">
        <v>4</v>
      </c>
      <c r="K14" s="504">
        <v>0</v>
      </c>
      <c r="L14" s="506">
        <v>322.1823</v>
      </c>
      <c r="M14" s="505">
        <v>18.7</v>
      </c>
      <c r="N14" s="507">
        <v>0</v>
      </c>
      <c r="O14" s="508">
        <v>5819</v>
      </c>
      <c r="P14" s="493">
        <f t="shared" si="0"/>
        <v>5819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5819</v>
      </c>
      <c r="W14" s="515">
        <f t="shared" si="10"/>
        <v>205496.06472999998</v>
      </c>
      <c r="Y14" s="513">
        <f t="shared" si="11"/>
        <v>50.552922445785022</v>
      </c>
      <c r="Z14" s="510">
        <f t="shared" si="12"/>
        <v>211.65497569601271</v>
      </c>
      <c r="AA14" s="511">
        <f t="shared" si="13"/>
        <v>200.60964077162311</v>
      </c>
      <c r="AE14" s="598" t="str">
        <f t="shared" si="3"/>
        <v>600308</v>
      </c>
      <c r="AF14" s="502"/>
      <c r="AG14" s="606"/>
      <c r="AH14" s="607"/>
      <c r="AI14" s="608">
        <f t="shared" si="4"/>
        <v>600308</v>
      </c>
      <c r="AJ14" s="609">
        <f t="shared" si="5"/>
        <v>600308</v>
      </c>
      <c r="AL14" s="602">
        <f t="shared" si="6"/>
        <v>0</v>
      </c>
      <c r="AM14" s="610">
        <f t="shared" si="6"/>
        <v>5819</v>
      </c>
      <c r="AN14" s="611">
        <f t="shared" si="7"/>
        <v>5819</v>
      </c>
      <c r="AO14" s="612">
        <f t="shared" si="8"/>
        <v>1</v>
      </c>
    </row>
    <row r="15" spans="1:41" x14ac:dyDescent="0.2">
      <c r="A15" s="502">
        <v>89</v>
      </c>
      <c r="B15" s="503">
        <v>0.375</v>
      </c>
      <c r="C15" s="504">
        <v>2013</v>
      </c>
      <c r="D15" s="504">
        <v>3</v>
      </c>
      <c r="E15" s="504">
        <v>13</v>
      </c>
      <c r="F15" s="505">
        <v>606127</v>
      </c>
      <c r="G15" s="504">
        <v>0</v>
      </c>
      <c r="H15" s="505">
        <v>216789</v>
      </c>
      <c r="I15" s="504">
        <v>0</v>
      </c>
      <c r="J15" s="504">
        <v>4</v>
      </c>
      <c r="K15" s="504">
        <v>0</v>
      </c>
      <c r="L15" s="506">
        <v>319.42509999999999</v>
      </c>
      <c r="M15" s="505">
        <v>18.3</v>
      </c>
      <c r="N15" s="507">
        <v>0</v>
      </c>
      <c r="O15" s="508">
        <v>6707</v>
      </c>
      <c r="P15" s="493">
        <f t="shared" si="0"/>
        <v>6707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6707</v>
      </c>
      <c r="W15" s="515">
        <f t="shared" si="10"/>
        <v>236855.49169</v>
      </c>
      <c r="Y15" s="513">
        <f t="shared" si="11"/>
        <v>58.129152365668013</v>
      </c>
      <c r="Z15" s="510">
        <f t="shared" si="12"/>
        <v>243.37513512457886</v>
      </c>
      <c r="AA15" s="511">
        <f t="shared" si="13"/>
        <v>230.67446569368204</v>
      </c>
      <c r="AE15" s="598" t="str">
        <f t="shared" si="3"/>
        <v>606127</v>
      </c>
      <c r="AF15" s="502"/>
      <c r="AG15" s="606"/>
      <c r="AH15" s="607"/>
      <c r="AI15" s="608">
        <f t="shared" si="4"/>
        <v>606127</v>
      </c>
      <c r="AJ15" s="609">
        <f t="shared" si="5"/>
        <v>606127</v>
      </c>
      <c r="AL15" s="602">
        <f t="shared" si="6"/>
        <v>0</v>
      </c>
      <c r="AM15" s="610">
        <f t="shared" si="6"/>
        <v>6707</v>
      </c>
      <c r="AN15" s="611">
        <f t="shared" si="7"/>
        <v>6707</v>
      </c>
      <c r="AO15" s="612">
        <f t="shared" si="8"/>
        <v>1</v>
      </c>
    </row>
    <row r="16" spans="1:41" x14ac:dyDescent="0.2">
      <c r="A16" s="502">
        <v>89</v>
      </c>
      <c r="B16" s="503">
        <v>0.375</v>
      </c>
      <c r="C16" s="504">
        <v>2013</v>
      </c>
      <c r="D16" s="504">
        <v>3</v>
      </c>
      <c r="E16" s="504">
        <v>14</v>
      </c>
      <c r="F16" s="505">
        <v>612834</v>
      </c>
      <c r="G16" s="504">
        <v>0</v>
      </c>
      <c r="H16" s="505">
        <v>217072</v>
      </c>
      <c r="I16" s="504">
        <v>0</v>
      </c>
      <c r="J16" s="504">
        <v>4</v>
      </c>
      <c r="K16" s="504">
        <v>0</v>
      </c>
      <c r="L16" s="506">
        <v>318.1454</v>
      </c>
      <c r="M16" s="505">
        <v>16.600000000000001</v>
      </c>
      <c r="N16" s="507">
        <v>0</v>
      </c>
      <c r="O16" s="508">
        <v>5554</v>
      </c>
      <c r="P16" s="493">
        <f t="shared" si="0"/>
        <v>5554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5554</v>
      </c>
      <c r="W16" s="515">
        <f t="shared" si="10"/>
        <v>196137.67718</v>
      </c>
      <c r="Y16" s="513">
        <f t="shared" si="11"/>
        <v>48.011523701811491</v>
      </c>
      <c r="Z16" s="510">
        <f t="shared" si="12"/>
        <v>201.01464743474432</v>
      </c>
      <c r="AA16" s="511">
        <f t="shared" si="13"/>
        <v>190.5245840742038</v>
      </c>
      <c r="AE16" s="598" t="str">
        <f t="shared" si="3"/>
        <v>612834</v>
      </c>
      <c r="AF16" s="502"/>
      <c r="AG16" s="606"/>
      <c r="AH16" s="607"/>
      <c r="AI16" s="608">
        <f t="shared" si="4"/>
        <v>612834</v>
      </c>
      <c r="AJ16" s="609">
        <f t="shared" si="5"/>
        <v>612834</v>
      </c>
      <c r="AL16" s="602">
        <f t="shared" si="6"/>
        <v>0</v>
      </c>
      <c r="AM16" s="610">
        <f t="shared" si="6"/>
        <v>5554</v>
      </c>
      <c r="AN16" s="611">
        <f t="shared" si="7"/>
        <v>5554</v>
      </c>
      <c r="AO16" s="612">
        <f t="shared" si="8"/>
        <v>1</v>
      </c>
    </row>
    <row r="17" spans="1:41" x14ac:dyDescent="0.2">
      <c r="A17" s="502">
        <v>89</v>
      </c>
      <c r="B17" s="503">
        <v>0.375</v>
      </c>
      <c r="C17" s="504">
        <v>2013</v>
      </c>
      <c r="D17" s="504">
        <v>3</v>
      </c>
      <c r="E17" s="504">
        <v>15</v>
      </c>
      <c r="F17" s="505">
        <v>618388</v>
      </c>
      <c r="G17" s="504">
        <v>0</v>
      </c>
      <c r="H17" s="505">
        <v>217306</v>
      </c>
      <c r="I17" s="504">
        <v>0</v>
      </c>
      <c r="J17" s="504">
        <v>4</v>
      </c>
      <c r="K17" s="504">
        <v>0</v>
      </c>
      <c r="L17" s="506">
        <v>319.3288</v>
      </c>
      <c r="M17" s="505">
        <v>15.3</v>
      </c>
      <c r="N17" s="507">
        <v>0</v>
      </c>
      <c r="O17" s="508">
        <v>5365</v>
      </c>
      <c r="P17" s="493">
        <f t="shared" si="0"/>
        <v>5365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5365</v>
      </c>
      <c r="W17" s="515">
        <f t="shared" si="10"/>
        <v>189463.20454999999</v>
      </c>
      <c r="Y17" s="513">
        <f t="shared" si="11"/>
        <v>46.95921948370254</v>
      </c>
      <c r="Z17" s="510">
        <f t="shared" si="12"/>
        <v>196.60886013436578</v>
      </c>
      <c r="AA17" s="511">
        <f t="shared" si="13"/>
        <v>186.34871528237093</v>
      </c>
      <c r="AE17" s="598" t="str">
        <f t="shared" si="3"/>
        <v>618388</v>
      </c>
      <c r="AF17" s="502"/>
      <c r="AG17" s="606"/>
      <c r="AH17" s="607"/>
      <c r="AI17" s="608">
        <f t="shared" si="4"/>
        <v>618388</v>
      </c>
      <c r="AJ17" s="609">
        <f t="shared" si="5"/>
        <v>618388</v>
      </c>
      <c r="AL17" s="602">
        <f t="shared" si="6"/>
        <v>0</v>
      </c>
      <c r="AM17" s="610">
        <f t="shared" si="6"/>
        <v>5365</v>
      </c>
      <c r="AN17" s="611">
        <f t="shared" si="7"/>
        <v>5365</v>
      </c>
      <c r="AO17" s="612">
        <f t="shared" si="8"/>
        <v>1</v>
      </c>
    </row>
    <row r="18" spans="1:41" x14ac:dyDescent="0.2">
      <c r="A18" s="502">
        <v>89</v>
      </c>
      <c r="B18" s="503">
        <v>0.375</v>
      </c>
      <c r="C18" s="504">
        <v>2013</v>
      </c>
      <c r="D18" s="504">
        <v>3</v>
      </c>
      <c r="E18" s="504">
        <v>16</v>
      </c>
      <c r="F18" s="505">
        <v>623753</v>
      </c>
      <c r="G18" s="504">
        <v>0</v>
      </c>
      <c r="H18" s="505">
        <v>217531</v>
      </c>
      <c r="I18" s="504">
        <v>0</v>
      </c>
      <c r="J18" s="504">
        <v>4</v>
      </c>
      <c r="K18" s="504">
        <v>0</v>
      </c>
      <c r="L18" s="506">
        <v>318.58199999999999</v>
      </c>
      <c r="M18" s="505">
        <v>14.6</v>
      </c>
      <c r="N18" s="507">
        <v>0</v>
      </c>
      <c r="O18" s="508">
        <v>919</v>
      </c>
      <c r="P18" s="493">
        <f t="shared" si="0"/>
        <v>919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919</v>
      </c>
      <c r="W18" s="515">
        <f t="shared" si="10"/>
        <v>32454.18173</v>
      </c>
      <c r="Y18" s="513">
        <f t="shared" si="11"/>
        <v>8.04389985191475</v>
      </c>
      <c r="Z18" s="510">
        <f t="shared" si="12"/>
        <v>33.678199899996677</v>
      </c>
      <c r="AA18" s="511">
        <f t="shared" si="13"/>
        <v>31.92068394119271</v>
      </c>
      <c r="AE18" s="598" t="str">
        <f t="shared" si="3"/>
        <v>623753</v>
      </c>
      <c r="AF18" s="502"/>
      <c r="AG18" s="606"/>
      <c r="AH18" s="607"/>
      <c r="AI18" s="608">
        <f t="shared" si="4"/>
        <v>623753</v>
      </c>
      <c r="AJ18" s="609">
        <f t="shared" si="5"/>
        <v>623753</v>
      </c>
      <c r="AL18" s="602">
        <f t="shared" si="6"/>
        <v>624672</v>
      </c>
      <c r="AM18" s="610">
        <f t="shared" si="6"/>
        <v>919</v>
      </c>
      <c r="AN18" s="611">
        <f t="shared" si="7"/>
        <v>-623753</v>
      </c>
      <c r="AO18" s="612">
        <f t="shared" si="8"/>
        <v>-678.73014145810669</v>
      </c>
    </row>
    <row r="19" spans="1:41" x14ac:dyDescent="0.2">
      <c r="A19" s="502">
        <v>89</v>
      </c>
      <c r="B19" s="503">
        <v>0.375</v>
      </c>
      <c r="C19" s="504">
        <v>2013</v>
      </c>
      <c r="D19" s="504">
        <v>3</v>
      </c>
      <c r="E19" s="504">
        <v>17</v>
      </c>
      <c r="F19" s="505">
        <v>624672</v>
      </c>
      <c r="G19" s="504">
        <v>0</v>
      </c>
      <c r="H19" s="505">
        <v>217569</v>
      </c>
      <c r="I19" s="504">
        <v>0</v>
      </c>
      <c r="J19" s="504">
        <v>4</v>
      </c>
      <c r="K19" s="504">
        <v>0</v>
      </c>
      <c r="L19" s="506">
        <v>328.31169999999997</v>
      </c>
      <c r="M19" s="505">
        <v>10.3</v>
      </c>
      <c r="N19" s="507">
        <v>0</v>
      </c>
      <c r="O19" s="508">
        <v>678</v>
      </c>
      <c r="P19" s="493">
        <f t="shared" si="0"/>
        <v>678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678</v>
      </c>
      <c r="W19" s="515">
        <f t="shared" si="10"/>
        <v>23943.346259999998</v>
      </c>
      <c r="Y19" s="513">
        <f t="shared" si="11"/>
        <v>5.9344549505965185</v>
      </c>
      <c r="Z19" s="510">
        <f t="shared" si="12"/>
        <v>24.846375987157504</v>
      </c>
      <c r="AA19" s="511">
        <f t="shared" si="13"/>
        <v>23.54975376727819</v>
      </c>
      <c r="AE19" s="598" t="str">
        <f t="shared" si="3"/>
        <v>624672</v>
      </c>
      <c r="AF19" s="502">
        <v>89</v>
      </c>
      <c r="AG19" s="606">
        <v>17</v>
      </c>
      <c r="AH19" s="607">
        <v>624672</v>
      </c>
      <c r="AI19" s="608">
        <f t="shared" si="4"/>
        <v>624672</v>
      </c>
      <c r="AJ19" s="609">
        <f t="shared" si="5"/>
        <v>0</v>
      </c>
      <c r="AL19" s="602">
        <f t="shared" si="6"/>
        <v>692</v>
      </c>
      <c r="AM19" s="610">
        <f t="shared" si="6"/>
        <v>678</v>
      </c>
      <c r="AN19" s="611">
        <f t="shared" si="7"/>
        <v>-14</v>
      </c>
      <c r="AO19" s="612">
        <f t="shared" si="8"/>
        <v>-2.0648967551622419E-2</v>
      </c>
    </row>
    <row r="20" spans="1:41" x14ac:dyDescent="0.2">
      <c r="A20" s="502">
        <v>89</v>
      </c>
      <c r="B20" s="503">
        <v>0.375</v>
      </c>
      <c r="C20" s="504">
        <v>2013</v>
      </c>
      <c r="D20" s="504">
        <v>3</v>
      </c>
      <c r="E20" s="504">
        <v>18</v>
      </c>
      <c r="F20" s="505">
        <v>625350</v>
      </c>
      <c r="G20" s="504">
        <v>0</v>
      </c>
      <c r="H20" s="505">
        <v>217596</v>
      </c>
      <c r="I20" s="504">
        <v>0</v>
      </c>
      <c r="J20" s="504">
        <v>4</v>
      </c>
      <c r="K20" s="504">
        <v>0</v>
      </c>
      <c r="L20" s="506">
        <v>329.59460000000001</v>
      </c>
      <c r="M20" s="505">
        <v>17.2</v>
      </c>
      <c r="N20" s="507">
        <v>0</v>
      </c>
      <c r="O20" s="508">
        <v>4479</v>
      </c>
      <c r="P20" s="493">
        <f t="shared" si="0"/>
        <v>4479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4479</v>
      </c>
      <c r="W20" s="515">
        <f t="shared" si="10"/>
        <v>158174.40693</v>
      </c>
      <c r="Y20" s="513">
        <f t="shared" si="11"/>
        <v>39.204164784250452</v>
      </c>
      <c r="Z20" s="510">
        <f t="shared" si="12"/>
        <v>164.1399971186998</v>
      </c>
      <c r="AA20" s="511">
        <f t="shared" si="13"/>
        <v>155.57425829445282</v>
      </c>
      <c r="AE20" s="598" t="str">
        <f t="shared" si="3"/>
        <v>625350</v>
      </c>
      <c r="AF20" s="502">
        <v>89</v>
      </c>
      <c r="AG20" s="606">
        <v>18</v>
      </c>
      <c r="AH20" s="607">
        <v>625364</v>
      </c>
      <c r="AI20" s="608">
        <f t="shared" si="4"/>
        <v>625350</v>
      </c>
      <c r="AJ20" s="609">
        <f t="shared" si="5"/>
        <v>-14</v>
      </c>
      <c r="AL20" s="602">
        <f t="shared" si="6"/>
        <v>-625364</v>
      </c>
      <c r="AM20" s="610">
        <f t="shared" si="6"/>
        <v>4479</v>
      </c>
      <c r="AN20" s="611">
        <f t="shared" si="7"/>
        <v>629843</v>
      </c>
      <c r="AO20" s="612">
        <f t="shared" si="8"/>
        <v>140.62134405001117</v>
      </c>
    </row>
    <row r="21" spans="1:41" x14ac:dyDescent="0.2">
      <c r="A21" s="502">
        <v>89</v>
      </c>
      <c r="B21" s="503">
        <v>0.375</v>
      </c>
      <c r="C21" s="504">
        <v>2013</v>
      </c>
      <c r="D21" s="504">
        <v>3</v>
      </c>
      <c r="E21" s="504">
        <v>19</v>
      </c>
      <c r="F21" s="505">
        <v>629829</v>
      </c>
      <c r="G21" s="504">
        <v>0</v>
      </c>
      <c r="H21" s="505">
        <v>217780</v>
      </c>
      <c r="I21" s="504">
        <v>0</v>
      </c>
      <c r="J21" s="504">
        <v>4</v>
      </c>
      <c r="K21" s="504">
        <v>0</v>
      </c>
      <c r="L21" s="506">
        <v>328.52499999999998</v>
      </c>
      <c r="M21" s="505">
        <v>18.600000000000001</v>
      </c>
      <c r="N21" s="507">
        <v>0</v>
      </c>
      <c r="O21" s="508">
        <v>6365</v>
      </c>
      <c r="P21" s="493">
        <f t="shared" si="0"/>
        <v>6365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6365</v>
      </c>
      <c r="W21" s="515">
        <f t="shared" si="10"/>
        <v>224777.87455000001</v>
      </c>
      <c r="Y21" s="513">
        <f t="shared" si="11"/>
        <v>55.712102891662006</v>
      </c>
      <c r="Z21" s="510">
        <f t="shared" si="12"/>
        <v>233.2554323868105</v>
      </c>
      <c r="AA21" s="511">
        <f t="shared" si="13"/>
        <v>221.08286538160129</v>
      </c>
      <c r="AE21" s="598" t="str">
        <f t="shared" si="3"/>
        <v>629829</v>
      </c>
      <c r="AF21" s="502"/>
      <c r="AG21" s="606"/>
      <c r="AH21" s="607"/>
      <c r="AI21" s="608">
        <f t="shared" si="4"/>
        <v>629829</v>
      </c>
      <c r="AJ21" s="609">
        <f t="shared" si="5"/>
        <v>629829</v>
      </c>
      <c r="AL21" s="602">
        <f t="shared" si="6"/>
        <v>636209</v>
      </c>
      <c r="AM21" s="610">
        <f t="shared" si="6"/>
        <v>6365</v>
      </c>
      <c r="AN21" s="611">
        <f t="shared" si="7"/>
        <v>-629844</v>
      </c>
      <c r="AO21" s="612">
        <f t="shared" si="8"/>
        <v>-98.954281225451695</v>
      </c>
    </row>
    <row r="22" spans="1:41" x14ac:dyDescent="0.2">
      <c r="A22" s="502">
        <v>89</v>
      </c>
      <c r="B22" s="503">
        <v>0.375</v>
      </c>
      <c r="C22" s="504">
        <v>2013</v>
      </c>
      <c r="D22" s="504">
        <v>3</v>
      </c>
      <c r="E22" s="504">
        <v>20</v>
      </c>
      <c r="F22" s="505">
        <v>636194</v>
      </c>
      <c r="G22" s="504">
        <v>0</v>
      </c>
      <c r="H22" s="505">
        <v>218048</v>
      </c>
      <c r="I22" s="504">
        <v>0</v>
      </c>
      <c r="J22" s="504">
        <v>4</v>
      </c>
      <c r="K22" s="504">
        <v>0</v>
      </c>
      <c r="L22" s="506">
        <v>320.77620000000002</v>
      </c>
      <c r="M22" s="505">
        <v>19</v>
      </c>
      <c r="N22" s="507">
        <v>0</v>
      </c>
      <c r="O22" s="508">
        <v>6064</v>
      </c>
      <c r="P22" s="493">
        <f t="shared" si="0"/>
        <v>6064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6064</v>
      </c>
      <c r="W22" s="515">
        <f t="shared" si="10"/>
        <v>214148.15888</v>
      </c>
      <c r="Y22" s="513">
        <f t="shared" si="11"/>
        <v>53.077484985866214</v>
      </c>
      <c r="Z22" s="510">
        <f t="shared" si="12"/>
        <v>222.22481413882466</v>
      </c>
      <c r="AA22" s="511">
        <f t="shared" si="13"/>
        <v>210.62788620173296</v>
      </c>
      <c r="AE22" s="598" t="str">
        <f t="shared" si="3"/>
        <v>636194</v>
      </c>
      <c r="AF22" s="502">
        <v>89</v>
      </c>
      <c r="AG22" s="606">
        <v>20</v>
      </c>
      <c r="AH22" s="607">
        <v>636209</v>
      </c>
      <c r="AI22" s="608">
        <f t="shared" si="4"/>
        <v>636194</v>
      </c>
      <c r="AJ22" s="609">
        <f t="shared" si="5"/>
        <v>-15</v>
      </c>
      <c r="AL22" s="602">
        <f t="shared" si="6"/>
        <v>6060</v>
      </c>
      <c r="AM22" s="610">
        <f t="shared" si="6"/>
        <v>6064</v>
      </c>
      <c r="AN22" s="611">
        <f t="shared" si="7"/>
        <v>4</v>
      </c>
      <c r="AO22" s="612">
        <f t="shared" si="8"/>
        <v>6.5963060686015829E-4</v>
      </c>
    </row>
    <row r="23" spans="1:41" x14ac:dyDescent="0.2">
      <c r="A23" s="502">
        <v>89</v>
      </c>
      <c r="B23" s="503">
        <v>0.375</v>
      </c>
      <c r="C23" s="504">
        <v>2013</v>
      </c>
      <c r="D23" s="504">
        <v>3</v>
      </c>
      <c r="E23" s="504">
        <v>21</v>
      </c>
      <c r="F23" s="505">
        <v>642258</v>
      </c>
      <c r="G23" s="504">
        <v>0</v>
      </c>
      <c r="H23" s="505">
        <v>218305</v>
      </c>
      <c r="I23" s="504">
        <v>0</v>
      </c>
      <c r="J23" s="504">
        <v>4</v>
      </c>
      <c r="K23" s="504">
        <v>0</v>
      </c>
      <c r="L23" s="506">
        <v>320.01139999999998</v>
      </c>
      <c r="M23" s="505">
        <v>18.399999999999999</v>
      </c>
      <c r="N23" s="507">
        <v>0</v>
      </c>
      <c r="O23" s="508">
        <v>5461</v>
      </c>
      <c r="P23" s="493">
        <f t="shared" si="0"/>
        <v>5461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5461</v>
      </c>
      <c r="W23" s="515">
        <f t="shared" si="10"/>
        <v>192853.41287</v>
      </c>
      <c r="Y23" s="513">
        <f t="shared" si="11"/>
        <v>47.799496290866649</v>
      </c>
      <c r="Z23" s="510">
        <f t="shared" si="12"/>
        <v>200.12693107060048</v>
      </c>
      <c r="AA23" s="511">
        <f t="shared" si="13"/>
        <v>189.68319369189703</v>
      </c>
      <c r="AE23" s="598" t="str">
        <f t="shared" si="3"/>
        <v>642258</v>
      </c>
      <c r="AF23" s="502">
        <v>89</v>
      </c>
      <c r="AG23" s="606">
        <v>21</v>
      </c>
      <c r="AH23" s="607">
        <v>642269</v>
      </c>
      <c r="AI23" s="608">
        <f t="shared" si="4"/>
        <v>642258</v>
      </c>
      <c r="AJ23" s="609">
        <f t="shared" si="5"/>
        <v>-11</v>
      </c>
      <c r="AL23" s="602">
        <f t="shared" si="6"/>
        <v>5454</v>
      </c>
      <c r="AM23" s="610">
        <f t="shared" si="6"/>
        <v>5461</v>
      </c>
      <c r="AN23" s="611">
        <f t="shared" si="7"/>
        <v>7</v>
      </c>
      <c r="AO23" s="612">
        <f t="shared" si="8"/>
        <v>1.2818165171214063E-3</v>
      </c>
    </row>
    <row r="24" spans="1:41" x14ac:dyDescent="0.2">
      <c r="A24" s="502">
        <v>89</v>
      </c>
      <c r="B24" s="503">
        <v>0.375</v>
      </c>
      <c r="C24" s="504">
        <v>2013</v>
      </c>
      <c r="D24" s="504">
        <v>3</v>
      </c>
      <c r="E24" s="504">
        <v>22</v>
      </c>
      <c r="F24" s="505">
        <v>647719</v>
      </c>
      <c r="G24" s="504">
        <v>0</v>
      </c>
      <c r="H24" s="505">
        <v>218537</v>
      </c>
      <c r="I24" s="504">
        <v>0</v>
      </c>
      <c r="J24" s="504">
        <v>4</v>
      </c>
      <c r="K24" s="504">
        <v>0</v>
      </c>
      <c r="L24" s="506">
        <v>318.96269999999998</v>
      </c>
      <c r="M24" s="505">
        <v>18.899999999999999</v>
      </c>
      <c r="N24" s="507">
        <v>0</v>
      </c>
      <c r="O24" s="508">
        <v>4364</v>
      </c>
      <c r="P24" s="493">
        <f t="shared" si="0"/>
        <v>4364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4364</v>
      </c>
      <c r="W24" s="515">
        <f t="shared" si="10"/>
        <v>154113.21987999999</v>
      </c>
      <c r="Y24" s="513">
        <f t="shared" si="11"/>
        <v>38.197583192335117</v>
      </c>
      <c r="Z24" s="510">
        <f t="shared" si="12"/>
        <v>159.92564130966866</v>
      </c>
      <c r="AA24" s="511">
        <f t="shared" si="13"/>
        <v>151.57983103304133</v>
      </c>
      <c r="AE24" s="598" t="str">
        <f t="shared" si="3"/>
        <v>647719</v>
      </c>
      <c r="AF24" s="502">
        <v>89</v>
      </c>
      <c r="AG24" s="606">
        <v>22</v>
      </c>
      <c r="AH24" s="607">
        <v>647723</v>
      </c>
      <c r="AI24" s="608">
        <f t="shared" si="4"/>
        <v>647719</v>
      </c>
      <c r="AJ24" s="609">
        <f t="shared" si="5"/>
        <v>-4</v>
      </c>
      <c r="AL24" s="602">
        <f t="shared" si="6"/>
        <v>4381</v>
      </c>
      <c r="AM24" s="610">
        <f t="shared" si="6"/>
        <v>4364</v>
      </c>
      <c r="AN24" s="611">
        <f t="shared" si="7"/>
        <v>-17</v>
      </c>
      <c r="AO24" s="612">
        <f t="shared" si="8"/>
        <v>-3.8955087076076992E-3</v>
      </c>
    </row>
    <row r="25" spans="1:41" x14ac:dyDescent="0.2">
      <c r="A25" s="502">
        <v>89</v>
      </c>
      <c r="B25" s="503">
        <v>0.375</v>
      </c>
      <c r="C25" s="504">
        <v>2013</v>
      </c>
      <c r="D25" s="504">
        <v>3</v>
      </c>
      <c r="E25" s="504">
        <v>23</v>
      </c>
      <c r="F25" s="505">
        <v>652083</v>
      </c>
      <c r="G25" s="504">
        <v>0</v>
      </c>
      <c r="H25" s="505">
        <v>218721</v>
      </c>
      <c r="I25" s="504">
        <v>0</v>
      </c>
      <c r="J25" s="504">
        <v>4</v>
      </c>
      <c r="K25" s="504">
        <v>0</v>
      </c>
      <c r="L25" s="506">
        <v>319.99869999999999</v>
      </c>
      <c r="M25" s="505">
        <v>19</v>
      </c>
      <c r="N25" s="507">
        <v>0</v>
      </c>
      <c r="O25" s="508">
        <v>4434</v>
      </c>
      <c r="P25" s="493">
        <f t="shared" si="0"/>
        <v>4434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4434</v>
      </c>
      <c r="W25" s="515">
        <f t="shared" si="10"/>
        <v>156585.24677999999</v>
      </c>
      <c r="Y25" s="513">
        <f t="shared" si="11"/>
        <v>38.810285030892274</v>
      </c>
      <c r="Z25" s="510">
        <f t="shared" si="12"/>
        <v>162.4909013673398</v>
      </c>
      <c r="AA25" s="511">
        <f t="shared" si="13"/>
        <v>154.01122153998745</v>
      </c>
      <c r="AE25" s="598" t="str">
        <f t="shared" si="3"/>
        <v>652083</v>
      </c>
      <c r="AF25" s="502">
        <v>89</v>
      </c>
      <c r="AG25" s="606">
        <v>23</v>
      </c>
      <c r="AH25" s="607">
        <v>652104</v>
      </c>
      <c r="AI25" s="608">
        <f t="shared" si="4"/>
        <v>652083</v>
      </c>
      <c r="AJ25" s="609">
        <f t="shared" si="5"/>
        <v>-21</v>
      </c>
      <c r="AL25" s="602">
        <f t="shared" si="6"/>
        <v>4422</v>
      </c>
      <c r="AM25" s="610">
        <f t="shared" si="6"/>
        <v>4434</v>
      </c>
      <c r="AN25" s="611">
        <f t="shared" si="7"/>
        <v>12</v>
      </c>
      <c r="AO25" s="612">
        <f t="shared" si="8"/>
        <v>2.7063599458728013E-3</v>
      </c>
    </row>
    <row r="26" spans="1:41" x14ac:dyDescent="0.2">
      <c r="A26" s="502">
        <v>89</v>
      </c>
      <c r="B26" s="503">
        <v>0.375</v>
      </c>
      <c r="C26" s="504">
        <v>2013</v>
      </c>
      <c r="D26" s="504">
        <v>3</v>
      </c>
      <c r="E26" s="504">
        <v>24</v>
      </c>
      <c r="F26" s="505">
        <v>656517</v>
      </c>
      <c r="G26" s="504">
        <v>0</v>
      </c>
      <c r="H26" s="505">
        <v>218908</v>
      </c>
      <c r="I26" s="504">
        <v>0</v>
      </c>
      <c r="J26" s="504">
        <v>4</v>
      </c>
      <c r="K26" s="504">
        <v>0</v>
      </c>
      <c r="L26" s="506">
        <v>325.04070000000002</v>
      </c>
      <c r="M26" s="505">
        <v>18.5</v>
      </c>
      <c r="N26" s="507">
        <v>0</v>
      </c>
      <c r="O26" s="508">
        <v>2654</v>
      </c>
      <c r="P26" s="493">
        <f t="shared" si="0"/>
        <v>2654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2654</v>
      </c>
      <c r="W26" s="515">
        <f t="shared" si="10"/>
        <v>93725.134179999994</v>
      </c>
      <c r="Y26" s="513">
        <f t="shared" si="11"/>
        <v>23.230152564724428</v>
      </c>
      <c r="Z26" s="510">
        <f t="shared" si="12"/>
        <v>97.260002757988232</v>
      </c>
      <c r="AA26" s="511">
        <f t="shared" si="13"/>
        <v>92.184434363357397</v>
      </c>
      <c r="AE26" s="598" t="str">
        <f t="shared" si="3"/>
        <v>656517</v>
      </c>
      <c r="AF26" s="502">
        <v>89</v>
      </c>
      <c r="AG26" s="606">
        <v>24</v>
      </c>
      <c r="AH26" s="607">
        <v>656526</v>
      </c>
      <c r="AI26" s="608">
        <f t="shared" si="4"/>
        <v>656517</v>
      </c>
      <c r="AJ26" s="609">
        <f t="shared" si="5"/>
        <v>-9</v>
      </c>
      <c r="AL26" s="602">
        <f t="shared" si="6"/>
        <v>2654</v>
      </c>
      <c r="AM26" s="610">
        <f t="shared" si="6"/>
        <v>2654</v>
      </c>
      <c r="AN26" s="611">
        <f t="shared" si="7"/>
        <v>0</v>
      </c>
      <c r="AO26" s="612">
        <f t="shared" si="8"/>
        <v>0</v>
      </c>
    </row>
    <row r="27" spans="1:41" x14ac:dyDescent="0.2">
      <c r="A27" s="502">
        <v>89</v>
      </c>
      <c r="B27" s="503">
        <v>0.375</v>
      </c>
      <c r="C27" s="504">
        <v>2013</v>
      </c>
      <c r="D27" s="504">
        <v>3</v>
      </c>
      <c r="E27" s="504">
        <v>25</v>
      </c>
      <c r="F27" s="505">
        <v>659171</v>
      </c>
      <c r="G27" s="504">
        <v>0</v>
      </c>
      <c r="H27" s="505">
        <v>219018</v>
      </c>
      <c r="I27" s="504">
        <v>0</v>
      </c>
      <c r="J27" s="504">
        <v>4</v>
      </c>
      <c r="K27" s="504">
        <v>0</v>
      </c>
      <c r="L27" s="506">
        <v>326.0265</v>
      </c>
      <c r="M27" s="505">
        <v>18.399999999999999</v>
      </c>
      <c r="N27" s="507">
        <v>0</v>
      </c>
      <c r="O27" s="508">
        <v>1490</v>
      </c>
      <c r="P27" s="493">
        <f t="shared" si="0"/>
        <v>1490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1490</v>
      </c>
      <c r="W27" s="515">
        <f t="shared" si="10"/>
        <v>52618.8583</v>
      </c>
      <c r="Y27" s="513">
        <f t="shared" si="11"/>
        <v>13.041796277859605</v>
      </c>
      <c r="Z27" s="510">
        <f t="shared" si="12"/>
        <v>54.603392656142603</v>
      </c>
      <c r="AA27" s="511">
        <f t="shared" si="13"/>
        <v>51.75388364785325</v>
      </c>
      <c r="AE27" s="598" t="str">
        <f t="shared" si="3"/>
        <v>659171</v>
      </c>
      <c r="AF27" s="502">
        <v>89</v>
      </c>
      <c r="AG27" s="606">
        <v>25</v>
      </c>
      <c r="AH27" s="607">
        <v>659180</v>
      </c>
      <c r="AI27" s="608">
        <f t="shared" si="4"/>
        <v>659171</v>
      </c>
      <c r="AJ27" s="609">
        <f t="shared" si="5"/>
        <v>-9</v>
      </c>
      <c r="AL27" s="602">
        <f t="shared" si="6"/>
        <v>1481</v>
      </c>
      <c r="AM27" s="610">
        <f t="shared" si="6"/>
        <v>1490</v>
      </c>
      <c r="AN27" s="611">
        <f t="shared" si="7"/>
        <v>9</v>
      </c>
      <c r="AO27" s="612">
        <f t="shared" si="8"/>
        <v>6.0402684563758387E-3</v>
      </c>
    </row>
    <row r="28" spans="1:41" x14ac:dyDescent="0.2">
      <c r="A28" s="502">
        <v>89</v>
      </c>
      <c r="B28" s="503">
        <v>0.375</v>
      </c>
      <c r="C28" s="504">
        <v>2013</v>
      </c>
      <c r="D28" s="504">
        <v>3</v>
      </c>
      <c r="E28" s="504">
        <v>26</v>
      </c>
      <c r="F28" s="505">
        <v>660661</v>
      </c>
      <c r="G28" s="504">
        <v>0</v>
      </c>
      <c r="H28" s="505">
        <v>219084</v>
      </c>
      <c r="I28" s="504">
        <v>0</v>
      </c>
      <c r="J28" s="504">
        <v>4</v>
      </c>
      <c r="K28" s="504">
        <v>0</v>
      </c>
      <c r="L28" s="506">
        <v>319.31009999999998</v>
      </c>
      <c r="M28" s="505">
        <v>15.6</v>
      </c>
      <c r="N28" s="507">
        <v>0</v>
      </c>
      <c r="O28" s="508">
        <v>428</v>
      </c>
      <c r="P28" s="493">
        <f t="shared" si="0"/>
        <v>428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428</v>
      </c>
      <c r="W28" s="515">
        <f t="shared" si="10"/>
        <v>15114.678760000001</v>
      </c>
      <c r="Y28" s="513">
        <f t="shared" si="11"/>
        <v>3.746234098606652</v>
      </c>
      <c r="Z28" s="510">
        <f t="shared" si="12"/>
        <v>15.68473292404633</v>
      </c>
      <c r="AA28" s="511">
        <f t="shared" si="13"/>
        <v>14.866216242470598</v>
      </c>
      <c r="AE28" s="598" t="str">
        <f t="shared" si="3"/>
        <v>660661</v>
      </c>
      <c r="AF28" s="502">
        <v>89</v>
      </c>
      <c r="AG28" s="606">
        <v>26</v>
      </c>
      <c r="AH28" s="607">
        <v>660661</v>
      </c>
      <c r="AI28" s="608">
        <f t="shared" si="4"/>
        <v>660661</v>
      </c>
      <c r="AJ28" s="609">
        <f t="shared" si="5"/>
        <v>0</v>
      </c>
      <c r="AL28" s="602">
        <f t="shared" si="6"/>
        <v>437</v>
      </c>
      <c r="AM28" s="610">
        <f t="shared" si="6"/>
        <v>428</v>
      </c>
      <c r="AN28" s="611">
        <f t="shared" si="7"/>
        <v>-9</v>
      </c>
      <c r="AO28" s="612">
        <f t="shared" si="8"/>
        <v>-2.1028037383177569E-2</v>
      </c>
    </row>
    <row r="29" spans="1:41" x14ac:dyDescent="0.2">
      <c r="A29" s="502">
        <v>89</v>
      </c>
      <c r="B29" s="503">
        <v>0.375</v>
      </c>
      <c r="C29" s="504">
        <v>2013</v>
      </c>
      <c r="D29" s="504">
        <v>3</v>
      </c>
      <c r="E29" s="504">
        <v>27</v>
      </c>
      <c r="F29" s="505">
        <v>661089</v>
      </c>
      <c r="G29" s="504">
        <v>0</v>
      </c>
      <c r="H29" s="505">
        <v>219102</v>
      </c>
      <c r="I29" s="504">
        <v>0</v>
      </c>
      <c r="J29" s="504">
        <v>4</v>
      </c>
      <c r="K29" s="504">
        <v>0</v>
      </c>
      <c r="L29" s="506">
        <v>319.3433</v>
      </c>
      <c r="M29" s="505">
        <v>13.6</v>
      </c>
      <c r="N29" s="507">
        <v>0</v>
      </c>
      <c r="O29" s="508">
        <v>387</v>
      </c>
      <c r="P29" s="493">
        <f t="shared" si="0"/>
        <v>387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387</v>
      </c>
      <c r="W29" s="515">
        <f t="shared" si="10"/>
        <v>13666.77729</v>
      </c>
      <c r="Y29" s="513">
        <f t="shared" si="11"/>
        <v>3.3873658788803138</v>
      </c>
      <c r="Z29" s="510">
        <f t="shared" si="12"/>
        <v>14.182223461696097</v>
      </c>
      <c r="AA29" s="511">
        <f t="shared" si="13"/>
        <v>13.442116088402152</v>
      </c>
      <c r="AE29" s="598" t="str">
        <f t="shared" si="3"/>
        <v>661089</v>
      </c>
      <c r="AF29" s="502">
        <v>89</v>
      </c>
      <c r="AG29" s="606">
        <v>27</v>
      </c>
      <c r="AH29" s="607">
        <v>661098</v>
      </c>
      <c r="AI29" s="608">
        <f t="shared" si="4"/>
        <v>661089</v>
      </c>
      <c r="AJ29" s="609">
        <f t="shared" si="5"/>
        <v>-9</v>
      </c>
      <c r="AL29" s="602">
        <f t="shared" si="6"/>
        <v>377</v>
      </c>
      <c r="AM29" s="610">
        <f t="shared" si="6"/>
        <v>387</v>
      </c>
      <c r="AN29" s="611">
        <f t="shared" si="7"/>
        <v>10</v>
      </c>
      <c r="AO29" s="612">
        <f t="shared" si="8"/>
        <v>2.5839793281653745E-2</v>
      </c>
    </row>
    <row r="30" spans="1:41" x14ac:dyDescent="0.2">
      <c r="A30" s="502">
        <v>89</v>
      </c>
      <c r="B30" s="503">
        <v>0.375</v>
      </c>
      <c r="C30" s="504">
        <v>2013</v>
      </c>
      <c r="D30" s="504">
        <v>3</v>
      </c>
      <c r="E30" s="504">
        <v>28</v>
      </c>
      <c r="F30" s="505">
        <v>661476</v>
      </c>
      <c r="G30" s="504">
        <v>0</v>
      </c>
      <c r="H30" s="505">
        <v>219119</v>
      </c>
      <c r="I30" s="504">
        <v>0</v>
      </c>
      <c r="J30" s="504">
        <v>4</v>
      </c>
      <c r="K30" s="504">
        <v>0</v>
      </c>
      <c r="L30" s="506">
        <v>323.41890000000001</v>
      </c>
      <c r="M30" s="505">
        <v>17.8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661476</v>
      </c>
      <c r="AF30" s="502">
        <v>89</v>
      </c>
      <c r="AG30" s="606">
        <v>28</v>
      </c>
      <c r="AH30" s="607">
        <v>661475</v>
      </c>
      <c r="AI30" s="608">
        <f t="shared" si="4"/>
        <v>661476</v>
      </c>
      <c r="AJ30" s="609">
        <f t="shared" si="5"/>
        <v>1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89</v>
      </c>
      <c r="B31" s="503">
        <v>0.375</v>
      </c>
      <c r="C31" s="504">
        <v>2013</v>
      </c>
      <c r="D31" s="504">
        <v>3</v>
      </c>
      <c r="E31" s="504">
        <v>29</v>
      </c>
      <c r="F31" s="505">
        <v>661476</v>
      </c>
      <c r="G31" s="504">
        <v>0</v>
      </c>
      <c r="H31" s="505">
        <v>219119</v>
      </c>
      <c r="I31" s="504">
        <v>0</v>
      </c>
      <c r="J31" s="504">
        <v>4</v>
      </c>
      <c r="K31" s="504">
        <v>0</v>
      </c>
      <c r="L31" s="506">
        <v>327.98610000000002</v>
      </c>
      <c r="M31" s="505">
        <v>18.3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661476</v>
      </c>
      <c r="AF31" s="502">
        <v>89</v>
      </c>
      <c r="AG31" s="606">
        <v>29</v>
      </c>
      <c r="AH31" s="607">
        <v>661475</v>
      </c>
      <c r="AI31" s="608">
        <f t="shared" si="4"/>
        <v>661476</v>
      </c>
      <c r="AJ31" s="609">
        <f t="shared" si="5"/>
        <v>1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89</v>
      </c>
      <c r="B32" s="503">
        <v>0.375</v>
      </c>
      <c r="C32" s="504">
        <v>2013</v>
      </c>
      <c r="D32" s="504">
        <v>3</v>
      </c>
      <c r="E32" s="504">
        <v>30</v>
      </c>
      <c r="F32" s="505">
        <v>661476</v>
      </c>
      <c r="G32" s="504">
        <v>0</v>
      </c>
      <c r="H32" s="505">
        <v>219119</v>
      </c>
      <c r="I32" s="504">
        <v>0</v>
      </c>
      <c r="J32" s="504">
        <v>4</v>
      </c>
      <c r="K32" s="504">
        <v>0</v>
      </c>
      <c r="L32" s="506">
        <v>327.82769999999999</v>
      </c>
      <c r="M32" s="505">
        <v>20.5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661476</v>
      </c>
      <c r="AF32" s="502">
        <v>89</v>
      </c>
      <c r="AG32" s="606">
        <v>30</v>
      </c>
      <c r="AH32" s="607">
        <v>661475</v>
      </c>
      <c r="AI32" s="608">
        <f t="shared" si="4"/>
        <v>661476</v>
      </c>
      <c r="AJ32" s="609">
        <f t="shared" si="5"/>
        <v>1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89</v>
      </c>
      <c r="B33" s="503">
        <v>0.375</v>
      </c>
      <c r="C33" s="504">
        <v>2013</v>
      </c>
      <c r="D33" s="504">
        <v>3</v>
      </c>
      <c r="E33" s="504">
        <v>31</v>
      </c>
      <c r="F33" s="505">
        <v>661476</v>
      </c>
      <c r="G33" s="504">
        <v>0</v>
      </c>
      <c r="H33" s="505">
        <v>219119</v>
      </c>
      <c r="I33" s="504">
        <v>0</v>
      </c>
      <c r="J33" s="504">
        <v>4</v>
      </c>
      <c r="K33" s="504">
        <v>0</v>
      </c>
      <c r="L33" s="506">
        <v>327.72739999999999</v>
      </c>
      <c r="M33" s="505">
        <v>20.9</v>
      </c>
      <c r="N33" s="507">
        <v>0</v>
      </c>
      <c r="O33" s="508">
        <v>0</v>
      </c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>661476</v>
      </c>
      <c r="AF33" s="502">
        <v>89</v>
      </c>
      <c r="AG33" s="606">
        <v>31</v>
      </c>
      <c r="AH33" s="607">
        <v>661475</v>
      </c>
      <c r="AI33" s="608">
        <f t="shared" si="4"/>
        <v>661476</v>
      </c>
      <c r="AJ33" s="609">
        <f t="shared" si="5"/>
        <v>1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>
        <v>89</v>
      </c>
      <c r="B34" s="520">
        <v>0.375</v>
      </c>
      <c r="C34" s="146">
        <v>2013</v>
      </c>
      <c r="D34" s="146">
        <v>4</v>
      </c>
      <c r="E34" s="146">
        <v>1</v>
      </c>
      <c r="F34" s="521">
        <v>661476</v>
      </c>
      <c r="G34" s="146">
        <v>0</v>
      </c>
      <c r="H34" s="521">
        <v>219119</v>
      </c>
      <c r="I34" s="146">
        <v>0</v>
      </c>
      <c r="J34" s="146">
        <v>4</v>
      </c>
      <c r="K34" s="146">
        <v>0</v>
      </c>
      <c r="L34" s="522">
        <v>326.45240000000001</v>
      </c>
      <c r="M34" s="521">
        <v>21.5</v>
      </c>
      <c r="N34" s="523">
        <v>0</v>
      </c>
      <c r="O34" s="524">
        <v>2838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661476</v>
      </c>
      <c r="AF34" s="148">
        <v>89</v>
      </c>
      <c r="AG34" s="614">
        <v>1</v>
      </c>
      <c r="AH34" s="615">
        <v>661475</v>
      </c>
      <c r="AI34" s="616">
        <f t="shared" si="4"/>
        <v>661476</v>
      </c>
      <c r="AJ34" s="617">
        <f t="shared" si="5"/>
        <v>1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329.59460000000001</v>
      </c>
      <c r="M36" s="535">
        <f>MAX(M3:M34)</f>
        <v>21.5</v>
      </c>
      <c r="N36" s="533" t="s">
        <v>68</v>
      </c>
      <c r="O36" s="535">
        <f>SUM(O3:O33)</f>
        <v>115006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115006</v>
      </c>
      <c r="W36" s="539">
        <f>SUM(W3:W33)</f>
        <v>4061398.9380200002</v>
      </c>
      <c r="Y36" s="540">
        <f>SUM(Y3:Y33)</f>
        <v>1000.3830837247552</v>
      </c>
      <c r="Z36" s="541">
        <f>SUM(Z3:Z33)</f>
        <v>4188.4038949388041</v>
      </c>
      <c r="AA36" s="542">
        <f>SUM(AA3:AA33)</f>
        <v>3969.8296626719439</v>
      </c>
      <c r="AF36" s="621" t="s">
        <v>208</v>
      </c>
      <c r="AG36" s="534">
        <f>COUNT(AG3:AG34)</f>
        <v>25</v>
      </c>
      <c r="AJ36" s="622">
        <f>SUM(AJ3:AJ33)</f>
        <v>4285575</v>
      </c>
      <c r="AK36" s="623" t="s">
        <v>176</v>
      </c>
      <c r="AL36" s="624"/>
      <c r="AM36" s="624"/>
      <c r="AN36" s="622">
        <f>SUM(AN3:AN33)</f>
        <v>3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321.99306250000006</v>
      </c>
      <c r="M37" s="543">
        <f>AVERAGE(M3:M34)</f>
        <v>17.375</v>
      </c>
      <c r="N37" s="533" t="s">
        <v>172</v>
      </c>
      <c r="O37" s="544">
        <f>O36*35.31467</f>
        <v>4061398.9380199998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7</v>
      </c>
      <c r="AN37" s="627">
        <f>IFERROR(AN36/SUM(AM3:AM33),"")</f>
        <v>2.6085595534146044E-5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309.8954</v>
      </c>
      <c r="M38" s="544">
        <f>MIN(M3:M34)</f>
        <v>10.3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354.19236875000013</v>
      </c>
      <c r="M44" s="551">
        <f>M37*(1+$L$43)</f>
        <v>19.112500000000001</v>
      </c>
    </row>
    <row r="45" spans="1:41" x14ac:dyDescent="0.2">
      <c r="K45" s="550" t="s">
        <v>186</v>
      </c>
      <c r="L45" s="551">
        <f>L37*(1-$L$43)</f>
        <v>289.79375625000006</v>
      </c>
      <c r="M45" s="551">
        <f>M37*(1-$L$43)</f>
        <v>15.637500000000001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103" priority="47" stopIfTrue="1" operator="lessThan">
      <formula>$L$45</formula>
    </cfRule>
    <cfRule type="cellIs" dxfId="1102" priority="48" stopIfTrue="1" operator="greaterThan">
      <formula>$L$44</formula>
    </cfRule>
  </conditionalFormatting>
  <conditionalFormatting sqref="M3:M34">
    <cfRule type="cellIs" dxfId="1101" priority="45" stopIfTrue="1" operator="lessThan">
      <formula>$M$45</formula>
    </cfRule>
    <cfRule type="cellIs" dxfId="1100" priority="46" stopIfTrue="1" operator="greaterThan">
      <formula>$M$44</formula>
    </cfRule>
  </conditionalFormatting>
  <conditionalFormatting sqref="O3:O34">
    <cfRule type="cellIs" dxfId="1099" priority="44" stopIfTrue="1" operator="lessThan">
      <formula>0</formula>
    </cfRule>
  </conditionalFormatting>
  <conditionalFormatting sqref="O3:O33">
    <cfRule type="cellIs" dxfId="1098" priority="43" stopIfTrue="1" operator="lessThan">
      <formula>0</formula>
    </cfRule>
  </conditionalFormatting>
  <conditionalFormatting sqref="O3">
    <cfRule type="cellIs" dxfId="1097" priority="42" stopIfTrue="1" operator="notEqual">
      <formula>$P$3</formula>
    </cfRule>
  </conditionalFormatting>
  <conditionalFormatting sqref="O4">
    <cfRule type="cellIs" dxfId="1096" priority="41" stopIfTrue="1" operator="notEqual">
      <formula>P$4</formula>
    </cfRule>
  </conditionalFormatting>
  <conditionalFormatting sqref="O5">
    <cfRule type="cellIs" dxfId="1095" priority="40" stopIfTrue="1" operator="notEqual">
      <formula>$P$5</formula>
    </cfRule>
  </conditionalFormatting>
  <conditionalFormatting sqref="O6">
    <cfRule type="cellIs" dxfId="1094" priority="39" stopIfTrue="1" operator="notEqual">
      <formula>$P$6</formula>
    </cfRule>
  </conditionalFormatting>
  <conditionalFormatting sqref="O7">
    <cfRule type="cellIs" dxfId="1093" priority="38" stopIfTrue="1" operator="notEqual">
      <formula>$P$7</formula>
    </cfRule>
  </conditionalFormatting>
  <conditionalFormatting sqref="O8">
    <cfRule type="cellIs" dxfId="1092" priority="37" stopIfTrue="1" operator="notEqual">
      <formula>$P$8</formula>
    </cfRule>
  </conditionalFormatting>
  <conditionalFormatting sqref="O9">
    <cfRule type="cellIs" dxfId="1091" priority="36" stopIfTrue="1" operator="notEqual">
      <formula>$P$9</formula>
    </cfRule>
  </conditionalFormatting>
  <conditionalFormatting sqref="O10">
    <cfRule type="cellIs" dxfId="1090" priority="34" stopIfTrue="1" operator="notEqual">
      <formula>$P$10</formula>
    </cfRule>
    <cfRule type="cellIs" dxfId="1089" priority="35" stopIfTrue="1" operator="greaterThan">
      <formula>$P$10</formula>
    </cfRule>
  </conditionalFormatting>
  <conditionalFormatting sqref="O11">
    <cfRule type="cellIs" dxfId="1088" priority="32" stopIfTrue="1" operator="notEqual">
      <formula>$P$11</formula>
    </cfRule>
    <cfRule type="cellIs" dxfId="1087" priority="33" stopIfTrue="1" operator="greaterThan">
      <formula>$P$11</formula>
    </cfRule>
  </conditionalFormatting>
  <conditionalFormatting sqref="O12">
    <cfRule type="cellIs" dxfId="1086" priority="31" stopIfTrue="1" operator="notEqual">
      <formula>$P$12</formula>
    </cfRule>
  </conditionalFormatting>
  <conditionalFormatting sqref="O14">
    <cfRule type="cellIs" dxfId="1085" priority="30" stopIfTrue="1" operator="notEqual">
      <formula>$P$14</formula>
    </cfRule>
  </conditionalFormatting>
  <conditionalFormatting sqref="O15">
    <cfRule type="cellIs" dxfId="1084" priority="29" stopIfTrue="1" operator="notEqual">
      <formula>$P$15</formula>
    </cfRule>
  </conditionalFormatting>
  <conditionalFormatting sqref="O16">
    <cfRule type="cellIs" dxfId="1083" priority="28" stopIfTrue="1" operator="notEqual">
      <formula>$P$16</formula>
    </cfRule>
  </conditionalFormatting>
  <conditionalFormatting sqref="O17">
    <cfRule type="cellIs" dxfId="1082" priority="27" stopIfTrue="1" operator="notEqual">
      <formula>$P$17</formula>
    </cfRule>
  </conditionalFormatting>
  <conditionalFormatting sqref="O18">
    <cfRule type="cellIs" dxfId="1081" priority="26" stopIfTrue="1" operator="notEqual">
      <formula>$P$18</formula>
    </cfRule>
  </conditionalFormatting>
  <conditionalFormatting sqref="O19">
    <cfRule type="cellIs" dxfId="1080" priority="24" stopIfTrue="1" operator="notEqual">
      <formula>$P$19</formula>
    </cfRule>
    <cfRule type="cellIs" dxfId="1079" priority="25" stopIfTrue="1" operator="greaterThan">
      <formula>$P$19</formula>
    </cfRule>
  </conditionalFormatting>
  <conditionalFormatting sqref="O20">
    <cfRule type="cellIs" dxfId="1078" priority="22" stopIfTrue="1" operator="notEqual">
      <formula>$P$20</formula>
    </cfRule>
    <cfRule type="cellIs" dxfId="1077" priority="23" stopIfTrue="1" operator="greaterThan">
      <formula>$P$20</formula>
    </cfRule>
  </conditionalFormatting>
  <conditionalFormatting sqref="O21">
    <cfRule type="cellIs" dxfId="1076" priority="21" stopIfTrue="1" operator="notEqual">
      <formula>$P$21</formula>
    </cfRule>
  </conditionalFormatting>
  <conditionalFormatting sqref="O22">
    <cfRule type="cellIs" dxfId="1075" priority="20" stopIfTrue="1" operator="notEqual">
      <formula>$P$22</formula>
    </cfRule>
  </conditionalFormatting>
  <conditionalFormatting sqref="O23">
    <cfRule type="cellIs" dxfId="1074" priority="19" stopIfTrue="1" operator="notEqual">
      <formula>$P$23</formula>
    </cfRule>
  </conditionalFormatting>
  <conditionalFormatting sqref="O24">
    <cfRule type="cellIs" dxfId="1073" priority="17" stopIfTrue="1" operator="notEqual">
      <formula>$P$24</formula>
    </cfRule>
    <cfRule type="cellIs" dxfId="1072" priority="18" stopIfTrue="1" operator="greaterThan">
      <formula>$P$24</formula>
    </cfRule>
  </conditionalFormatting>
  <conditionalFormatting sqref="O25">
    <cfRule type="cellIs" dxfId="1071" priority="15" stopIfTrue="1" operator="notEqual">
      <formula>$P$25</formula>
    </cfRule>
    <cfRule type="cellIs" dxfId="1070" priority="16" stopIfTrue="1" operator="greaterThan">
      <formula>$P$25</formula>
    </cfRule>
  </conditionalFormatting>
  <conditionalFormatting sqref="O26">
    <cfRule type="cellIs" dxfId="1069" priority="14" stopIfTrue="1" operator="notEqual">
      <formula>$P$26</formula>
    </cfRule>
  </conditionalFormatting>
  <conditionalFormatting sqref="O27">
    <cfRule type="cellIs" dxfId="1068" priority="13" stopIfTrue="1" operator="notEqual">
      <formula>$P$27</formula>
    </cfRule>
  </conditionalFormatting>
  <conditionalFormatting sqref="O28">
    <cfRule type="cellIs" dxfId="1067" priority="12" stopIfTrue="1" operator="notEqual">
      <formula>$P$28</formula>
    </cfRule>
  </conditionalFormatting>
  <conditionalFormatting sqref="O29">
    <cfRule type="cellIs" dxfId="1066" priority="11" stopIfTrue="1" operator="notEqual">
      <formula>$P$29</formula>
    </cfRule>
  </conditionalFormatting>
  <conditionalFormatting sqref="O30">
    <cfRule type="cellIs" dxfId="1065" priority="10" stopIfTrue="1" operator="notEqual">
      <formula>$P$30</formula>
    </cfRule>
  </conditionalFormatting>
  <conditionalFormatting sqref="O31">
    <cfRule type="cellIs" dxfId="1064" priority="8" stopIfTrue="1" operator="notEqual">
      <formula>$P$31</formula>
    </cfRule>
    <cfRule type="cellIs" dxfId="1063" priority="9" stopIfTrue="1" operator="greaterThan">
      <formula>$P$31</formula>
    </cfRule>
  </conditionalFormatting>
  <conditionalFormatting sqref="O32">
    <cfRule type="cellIs" dxfId="1062" priority="6" stopIfTrue="1" operator="notEqual">
      <formula>$P$32</formula>
    </cfRule>
    <cfRule type="cellIs" dxfId="1061" priority="7" stopIfTrue="1" operator="greaterThan">
      <formula>$P$32</formula>
    </cfRule>
  </conditionalFormatting>
  <conditionalFormatting sqref="O33">
    <cfRule type="cellIs" dxfId="1060" priority="5" stopIfTrue="1" operator="notEqual">
      <formula>$P$33</formula>
    </cfRule>
  </conditionalFormatting>
  <conditionalFormatting sqref="O13">
    <cfRule type="cellIs" dxfId="1059" priority="4" stopIfTrue="1" operator="notEqual">
      <formula>$P$13</formula>
    </cfRule>
  </conditionalFormatting>
  <conditionalFormatting sqref="AG3:AG34">
    <cfRule type="cellIs" dxfId="1058" priority="3" stopIfTrue="1" operator="notEqual">
      <formula>E3</formula>
    </cfRule>
  </conditionalFormatting>
  <conditionalFormatting sqref="AH3:AH34">
    <cfRule type="cellIs" dxfId="1057" priority="2" stopIfTrue="1" operator="notBetween">
      <formula>AI3+$AG$40</formula>
      <formula>AI3-$AG$40</formula>
    </cfRule>
  </conditionalFormatting>
  <conditionalFormatting sqref="AL3:AL33">
    <cfRule type="cellIs" dxfId="105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87</v>
      </c>
      <c r="B3" s="487">
        <v>0.375</v>
      </c>
      <c r="C3" s="488">
        <v>2013</v>
      </c>
      <c r="D3" s="488">
        <v>3</v>
      </c>
      <c r="E3" s="488">
        <v>1</v>
      </c>
      <c r="F3" s="489">
        <v>55742</v>
      </c>
      <c r="G3" s="488">
        <v>0</v>
      </c>
      <c r="H3" s="489">
        <v>18679</v>
      </c>
      <c r="I3" s="488">
        <v>0</v>
      </c>
      <c r="J3" s="488">
        <v>0</v>
      </c>
      <c r="K3" s="488">
        <v>0</v>
      </c>
      <c r="L3" s="490">
        <v>324.11669999999998</v>
      </c>
      <c r="M3" s="489">
        <v>4.3</v>
      </c>
      <c r="N3" s="491">
        <v>0</v>
      </c>
      <c r="O3" s="492">
        <v>81</v>
      </c>
      <c r="P3" s="493">
        <f>F4-F3</f>
        <v>81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81</v>
      </c>
      <c r="W3" s="498">
        <f>V3*35.31467</f>
        <v>2860.4882699999998</v>
      </c>
      <c r="X3" s="497"/>
      <c r="Y3" s="499">
        <f>V3*R3/1000000</f>
        <v>0.69860225613037019</v>
      </c>
      <c r="Z3" s="500">
        <f>S3*V3/1000000</f>
        <v>2.9249079259666333</v>
      </c>
      <c r="AA3" s="501">
        <f>W3*T3/1000000</f>
        <v>2.7722699472984487</v>
      </c>
      <c r="AE3" s="598" t="str">
        <f>RIGHT(F3,6)</f>
        <v>55742</v>
      </c>
      <c r="AF3" s="486">
        <v>87</v>
      </c>
      <c r="AG3" s="491">
        <v>1</v>
      </c>
      <c r="AH3" s="599">
        <v>55742</v>
      </c>
      <c r="AI3" s="600">
        <f>IFERROR(AE3*1,0)</f>
        <v>55742</v>
      </c>
      <c r="AJ3" s="601">
        <f>(AI3-AH3)</f>
        <v>0</v>
      </c>
      <c r="AL3" s="602">
        <f>AH4-AH3</f>
        <v>81</v>
      </c>
      <c r="AM3" s="603">
        <f>AI4-AI3</f>
        <v>81</v>
      </c>
      <c r="AN3" s="604">
        <f>(AM3-AL3)</f>
        <v>0</v>
      </c>
      <c r="AO3" s="605">
        <f>IFERROR(AN3/AM3,"")</f>
        <v>0</v>
      </c>
    </row>
    <row r="4" spans="1:41" x14ac:dyDescent="0.2">
      <c r="A4" s="502">
        <v>87</v>
      </c>
      <c r="B4" s="503">
        <v>0.375</v>
      </c>
      <c r="C4" s="504">
        <v>2013</v>
      </c>
      <c r="D4" s="504">
        <v>3</v>
      </c>
      <c r="E4" s="504">
        <v>2</v>
      </c>
      <c r="F4" s="505">
        <v>55823</v>
      </c>
      <c r="G4" s="504">
        <v>0</v>
      </c>
      <c r="H4" s="505">
        <v>54592</v>
      </c>
      <c r="I4" s="504">
        <v>0</v>
      </c>
      <c r="J4" s="504">
        <v>0</v>
      </c>
      <c r="K4" s="504">
        <v>0</v>
      </c>
      <c r="L4" s="506">
        <v>87.399199999999993</v>
      </c>
      <c r="M4" s="505">
        <v>11.1</v>
      </c>
      <c r="N4" s="507">
        <v>0</v>
      </c>
      <c r="O4" s="508">
        <v>38</v>
      </c>
      <c r="P4" s="493">
        <f t="shared" ref="P4:P33" si="0">F5-F4</f>
        <v>38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38</v>
      </c>
      <c r="W4" s="512">
        <f>V4*35.31467</f>
        <v>1341.9574600000001</v>
      </c>
      <c r="X4" s="497"/>
      <c r="Y4" s="513">
        <f>V4*R4/1000000</f>
        <v>0.32745222908222577</v>
      </c>
      <c r="Z4" s="510">
        <f>S4*V4/1000000</f>
        <v>1.3709769927214626</v>
      </c>
      <c r="AA4" s="511">
        <f>W4*T4/1000000</f>
        <v>1.2994317809519562</v>
      </c>
      <c r="AE4" s="598" t="str">
        <f t="shared" ref="AE4:AE34" si="3">RIGHT(F4,6)</f>
        <v>55823</v>
      </c>
      <c r="AF4" s="502">
        <v>87</v>
      </c>
      <c r="AG4" s="606">
        <v>2</v>
      </c>
      <c r="AH4" s="607">
        <v>55823</v>
      </c>
      <c r="AI4" s="608">
        <f t="shared" ref="AI4:AI34" si="4">IFERROR(AE4*1,0)</f>
        <v>55823</v>
      </c>
      <c r="AJ4" s="609">
        <f t="shared" ref="AJ4:AJ34" si="5">(AI4-AH4)</f>
        <v>0</v>
      </c>
      <c r="AL4" s="602">
        <f t="shared" ref="AL4:AM33" si="6">AH5-AH4</f>
        <v>38</v>
      </c>
      <c r="AM4" s="610">
        <f t="shared" si="6"/>
        <v>38</v>
      </c>
      <c r="AN4" s="611">
        <f t="shared" ref="AN4:AN33" si="7">(AM4-AL4)</f>
        <v>0</v>
      </c>
      <c r="AO4" s="612">
        <f t="shared" ref="AO4:AO33" si="8">IFERROR(AN4/AM4,"")</f>
        <v>0</v>
      </c>
    </row>
    <row r="5" spans="1:41" x14ac:dyDescent="0.2">
      <c r="A5" s="502">
        <v>87</v>
      </c>
      <c r="B5" s="503">
        <v>0.375</v>
      </c>
      <c r="C5" s="504">
        <v>2013</v>
      </c>
      <c r="D5" s="504">
        <v>3</v>
      </c>
      <c r="E5" s="504">
        <v>3</v>
      </c>
      <c r="F5" s="505">
        <v>55861</v>
      </c>
      <c r="G5" s="504">
        <v>0</v>
      </c>
      <c r="H5" s="505">
        <v>54597</v>
      </c>
      <c r="I5" s="504">
        <v>0</v>
      </c>
      <c r="J5" s="504">
        <v>0</v>
      </c>
      <c r="K5" s="504">
        <v>0</v>
      </c>
      <c r="L5" s="506">
        <v>88.5167</v>
      </c>
      <c r="M5" s="505">
        <v>6</v>
      </c>
      <c r="N5" s="507">
        <v>0</v>
      </c>
      <c r="O5" s="508">
        <v>9</v>
      </c>
      <c r="P5" s="493">
        <f t="shared" si="0"/>
        <v>9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9</v>
      </c>
      <c r="W5" s="512">
        <f t="shared" ref="W5:W33" si="10">V5*35.31467</f>
        <v>317.83202999999997</v>
      </c>
      <c r="X5" s="497"/>
      <c r="Y5" s="513">
        <f t="shared" ref="Y5:Y33" si="11">V5*R5/1000000</f>
        <v>7.7761596406343073E-2</v>
      </c>
      <c r="Z5" s="510">
        <f t="shared" ref="Z5:Z33" si="12">S5*V5/1000000</f>
        <v>0.32557225183407718</v>
      </c>
      <c r="AA5" s="511">
        <f t="shared" ref="AA5:AA33" si="13">W5*T5/1000000</f>
        <v>0.30858207925830977</v>
      </c>
      <c r="AE5" s="598" t="str">
        <f t="shared" si="3"/>
        <v>55861</v>
      </c>
      <c r="AF5" s="502">
        <v>87</v>
      </c>
      <c r="AG5" s="606">
        <v>3</v>
      </c>
      <c r="AH5" s="607">
        <v>55861</v>
      </c>
      <c r="AI5" s="608">
        <f t="shared" si="4"/>
        <v>55861</v>
      </c>
      <c r="AJ5" s="609">
        <f t="shared" si="5"/>
        <v>0</v>
      </c>
      <c r="AL5" s="602">
        <f t="shared" si="6"/>
        <v>9</v>
      </c>
      <c r="AM5" s="610">
        <f t="shared" si="6"/>
        <v>9</v>
      </c>
      <c r="AN5" s="611">
        <f t="shared" si="7"/>
        <v>0</v>
      </c>
      <c r="AO5" s="612">
        <f t="shared" si="8"/>
        <v>0</v>
      </c>
    </row>
    <row r="6" spans="1:41" x14ac:dyDescent="0.2">
      <c r="A6" s="502">
        <v>87</v>
      </c>
      <c r="B6" s="503">
        <v>0.375</v>
      </c>
      <c r="C6" s="504">
        <v>2013</v>
      </c>
      <c r="D6" s="504">
        <v>3</v>
      </c>
      <c r="E6" s="504">
        <v>4</v>
      </c>
      <c r="F6" s="505">
        <v>55870</v>
      </c>
      <c r="G6" s="504">
        <v>0</v>
      </c>
      <c r="H6" s="505">
        <v>54599</v>
      </c>
      <c r="I6" s="504">
        <v>0</v>
      </c>
      <c r="J6" s="504">
        <v>0</v>
      </c>
      <c r="K6" s="504">
        <v>0</v>
      </c>
      <c r="L6" s="506">
        <v>88.138599999999997</v>
      </c>
      <c r="M6" s="505">
        <v>10.4</v>
      </c>
      <c r="N6" s="507">
        <v>0</v>
      </c>
      <c r="O6" s="508">
        <v>87</v>
      </c>
      <c r="P6" s="493">
        <f t="shared" si="0"/>
        <v>87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87</v>
      </c>
      <c r="W6" s="512">
        <f t="shared" si="10"/>
        <v>3072.3762900000002</v>
      </c>
      <c r="X6" s="497"/>
      <c r="Y6" s="513">
        <f t="shared" si="11"/>
        <v>0.75438011998239873</v>
      </c>
      <c r="Z6" s="510">
        <f t="shared" si="12"/>
        <v>3.1584386863423068</v>
      </c>
      <c r="AA6" s="511">
        <f t="shared" si="13"/>
        <v>2.9936137725216909</v>
      </c>
      <c r="AE6" s="598" t="str">
        <f t="shared" si="3"/>
        <v>55870</v>
      </c>
      <c r="AF6" s="502">
        <v>87</v>
      </c>
      <c r="AG6" s="606">
        <v>4</v>
      </c>
      <c r="AH6" s="607">
        <v>55870</v>
      </c>
      <c r="AI6" s="608">
        <f t="shared" si="4"/>
        <v>55870</v>
      </c>
      <c r="AJ6" s="609">
        <f t="shared" si="5"/>
        <v>0</v>
      </c>
      <c r="AL6" s="602">
        <f t="shared" si="6"/>
        <v>88</v>
      </c>
      <c r="AM6" s="610">
        <f t="shared" si="6"/>
        <v>87</v>
      </c>
      <c r="AN6" s="611">
        <f t="shared" si="7"/>
        <v>-1</v>
      </c>
      <c r="AO6" s="612">
        <f t="shared" si="8"/>
        <v>-1.1494252873563218E-2</v>
      </c>
    </row>
    <row r="7" spans="1:41" x14ac:dyDescent="0.2">
      <c r="A7" s="502">
        <v>87</v>
      </c>
      <c r="B7" s="503">
        <v>0.375</v>
      </c>
      <c r="C7" s="504">
        <v>2013</v>
      </c>
      <c r="D7" s="504">
        <v>3</v>
      </c>
      <c r="E7" s="504">
        <v>5</v>
      </c>
      <c r="F7" s="505">
        <v>55957</v>
      </c>
      <c r="G7" s="504">
        <v>0</v>
      </c>
      <c r="H7" s="505">
        <v>54611</v>
      </c>
      <c r="I7" s="504">
        <v>0</v>
      </c>
      <c r="J7" s="504">
        <v>0</v>
      </c>
      <c r="K7" s="504">
        <v>0</v>
      </c>
      <c r="L7" s="506">
        <v>86.732100000000003</v>
      </c>
      <c r="M7" s="505">
        <v>13.5</v>
      </c>
      <c r="N7" s="507">
        <v>0</v>
      </c>
      <c r="O7" s="508">
        <v>69</v>
      </c>
      <c r="P7" s="493">
        <f t="shared" si="0"/>
        <v>69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69</v>
      </c>
      <c r="W7" s="512">
        <f t="shared" si="10"/>
        <v>2436.7122300000001</v>
      </c>
      <c r="X7" s="497"/>
      <c r="Y7" s="513">
        <f t="shared" si="11"/>
        <v>0.59780237690912941</v>
      </c>
      <c r="Z7" s="510">
        <f t="shared" si="12"/>
        <v>2.5028789916431431</v>
      </c>
      <c r="AA7" s="511">
        <f t="shared" si="13"/>
        <v>2.3722648322216227</v>
      </c>
      <c r="AE7" s="598" t="str">
        <f t="shared" si="3"/>
        <v>55957</v>
      </c>
      <c r="AF7" s="502">
        <v>87</v>
      </c>
      <c r="AG7" s="606">
        <v>5</v>
      </c>
      <c r="AH7" s="607">
        <v>55958</v>
      </c>
      <c r="AI7" s="608">
        <f t="shared" si="4"/>
        <v>55957</v>
      </c>
      <c r="AJ7" s="609">
        <f t="shared" si="5"/>
        <v>-1</v>
      </c>
      <c r="AL7" s="602">
        <f t="shared" si="6"/>
        <v>68</v>
      </c>
      <c r="AM7" s="610">
        <f t="shared" si="6"/>
        <v>69</v>
      </c>
      <c r="AN7" s="611">
        <f t="shared" si="7"/>
        <v>1</v>
      </c>
      <c r="AO7" s="612">
        <f t="shared" si="8"/>
        <v>1.4492753623188406E-2</v>
      </c>
    </row>
    <row r="8" spans="1:41" x14ac:dyDescent="0.2">
      <c r="A8" s="502">
        <v>87</v>
      </c>
      <c r="B8" s="503">
        <v>0.375</v>
      </c>
      <c r="C8" s="504">
        <v>2013</v>
      </c>
      <c r="D8" s="504">
        <v>3</v>
      </c>
      <c r="E8" s="504">
        <v>6</v>
      </c>
      <c r="F8" s="505">
        <v>56026</v>
      </c>
      <c r="G8" s="504">
        <v>0</v>
      </c>
      <c r="H8" s="505">
        <v>54621</v>
      </c>
      <c r="I8" s="504">
        <v>0</v>
      </c>
      <c r="J8" s="504">
        <v>0</v>
      </c>
      <c r="K8" s="504">
        <v>0</v>
      </c>
      <c r="L8" s="506">
        <v>86.893600000000006</v>
      </c>
      <c r="M8" s="505">
        <v>14.1</v>
      </c>
      <c r="N8" s="507">
        <v>0</v>
      </c>
      <c r="O8" s="508">
        <v>0</v>
      </c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>56026</v>
      </c>
      <c r="AF8" s="502">
        <v>87</v>
      </c>
      <c r="AG8" s="606">
        <v>6</v>
      </c>
      <c r="AH8" s="607">
        <v>56026</v>
      </c>
      <c r="AI8" s="608">
        <f t="shared" si="4"/>
        <v>56026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>
        <v>87</v>
      </c>
      <c r="B9" s="503">
        <v>0.375</v>
      </c>
      <c r="C9" s="504">
        <v>2013</v>
      </c>
      <c r="D9" s="504">
        <v>3</v>
      </c>
      <c r="E9" s="504">
        <v>7</v>
      </c>
      <c r="F9" s="505">
        <v>56026</v>
      </c>
      <c r="G9" s="504">
        <v>0</v>
      </c>
      <c r="H9" s="505">
        <v>54621</v>
      </c>
      <c r="I9" s="504">
        <v>0</v>
      </c>
      <c r="J9" s="504">
        <v>0</v>
      </c>
      <c r="K9" s="504">
        <v>0</v>
      </c>
      <c r="L9" s="506">
        <v>86.888499999999993</v>
      </c>
      <c r="M9" s="505">
        <v>15</v>
      </c>
      <c r="N9" s="507">
        <v>0</v>
      </c>
      <c r="O9" s="508">
        <v>1</v>
      </c>
      <c r="P9" s="493">
        <f t="shared" si="0"/>
        <v>1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</v>
      </c>
      <c r="W9" s="512">
        <f t="shared" si="10"/>
        <v>35.31467</v>
      </c>
      <c r="X9" s="497"/>
      <c r="Y9" s="513">
        <f t="shared" si="11"/>
        <v>8.6842233492572148E-3</v>
      </c>
      <c r="Z9" s="510">
        <f t="shared" si="12"/>
        <v>3.6359106318670099E-2</v>
      </c>
      <c r="AA9" s="511">
        <f t="shared" si="13"/>
        <v>3.4461685738215654E-2</v>
      </c>
      <c r="AE9" s="598" t="str">
        <f t="shared" si="3"/>
        <v>56026</v>
      </c>
      <c r="AF9" s="502">
        <v>87</v>
      </c>
      <c r="AG9" s="606">
        <v>7</v>
      </c>
      <c r="AH9" s="607">
        <v>56026</v>
      </c>
      <c r="AI9" s="608">
        <f t="shared" si="4"/>
        <v>56026</v>
      </c>
      <c r="AJ9" s="609">
        <f t="shared" si="5"/>
        <v>0</v>
      </c>
      <c r="AL9" s="602">
        <f t="shared" si="6"/>
        <v>0</v>
      </c>
      <c r="AM9" s="610">
        <f t="shared" si="6"/>
        <v>1</v>
      </c>
      <c r="AN9" s="611">
        <f t="shared" si="7"/>
        <v>1</v>
      </c>
      <c r="AO9" s="612">
        <f t="shared" si="8"/>
        <v>1</v>
      </c>
    </row>
    <row r="10" spans="1:41" x14ac:dyDescent="0.2">
      <c r="A10" s="502">
        <v>87</v>
      </c>
      <c r="B10" s="503">
        <v>0.375</v>
      </c>
      <c r="C10" s="504">
        <v>2013</v>
      </c>
      <c r="D10" s="504">
        <v>3</v>
      </c>
      <c r="E10" s="504">
        <v>8</v>
      </c>
      <c r="F10" s="505">
        <v>56027</v>
      </c>
      <c r="G10" s="504">
        <v>0</v>
      </c>
      <c r="H10" s="505">
        <v>54621</v>
      </c>
      <c r="I10" s="504">
        <v>0</v>
      </c>
      <c r="J10" s="504">
        <v>0</v>
      </c>
      <c r="K10" s="504">
        <v>0</v>
      </c>
      <c r="L10" s="506">
        <v>87.021699999999996</v>
      </c>
      <c r="M10" s="505">
        <v>17.399999999999999</v>
      </c>
      <c r="N10" s="507">
        <v>0</v>
      </c>
      <c r="O10" s="508">
        <v>0</v>
      </c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>56027</v>
      </c>
      <c r="AF10" s="502">
        <v>87</v>
      </c>
      <c r="AG10" s="606">
        <v>8</v>
      </c>
      <c r="AH10" s="607">
        <v>56026</v>
      </c>
      <c r="AI10" s="608">
        <f t="shared" si="4"/>
        <v>56027</v>
      </c>
      <c r="AJ10" s="609">
        <f t="shared" si="5"/>
        <v>1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>
        <v>87</v>
      </c>
      <c r="B11" s="503">
        <v>0.375</v>
      </c>
      <c r="C11" s="504">
        <v>2013</v>
      </c>
      <c r="D11" s="504">
        <v>3</v>
      </c>
      <c r="E11" s="504">
        <v>9</v>
      </c>
      <c r="F11" s="505">
        <v>56027</v>
      </c>
      <c r="G11" s="504">
        <v>0</v>
      </c>
      <c r="H11" s="505">
        <v>54621</v>
      </c>
      <c r="I11" s="504">
        <v>0</v>
      </c>
      <c r="J11" s="504">
        <v>0</v>
      </c>
      <c r="K11" s="504">
        <v>0</v>
      </c>
      <c r="L11" s="506">
        <v>87.2791</v>
      </c>
      <c r="M11" s="505">
        <v>17.899999999999999</v>
      </c>
      <c r="N11" s="507">
        <v>0</v>
      </c>
      <c r="O11" s="508">
        <v>0</v>
      </c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>56027</v>
      </c>
      <c r="AF11" s="502">
        <v>87</v>
      </c>
      <c r="AG11" s="606">
        <v>9</v>
      </c>
      <c r="AH11" s="607">
        <v>56026</v>
      </c>
      <c r="AI11" s="608">
        <f t="shared" si="4"/>
        <v>56027</v>
      </c>
      <c r="AJ11" s="609">
        <f t="shared" si="5"/>
        <v>1</v>
      </c>
      <c r="AL11" s="602">
        <f t="shared" si="6"/>
        <v>1</v>
      </c>
      <c r="AM11" s="610">
        <f t="shared" si="6"/>
        <v>0</v>
      </c>
      <c r="AN11" s="611">
        <f t="shared" si="7"/>
        <v>-1</v>
      </c>
      <c r="AO11" s="612" t="str">
        <f t="shared" si="8"/>
        <v/>
      </c>
    </row>
    <row r="12" spans="1:41" x14ac:dyDescent="0.2">
      <c r="A12" s="502">
        <v>87</v>
      </c>
      <c r="B12" s="503">
        <v>0.375</v>
      </c>
      <c r="C12" s="504">
        <v>2013</v>
      </c>
      <c r="D12" s="504">
        <v>3</v>
      </c>
      <c r="E12" s="504">
        <v>10</v>
      </c>
      <c r="F12" s="505">
        <v>56027</v>
      </c>
      <c r="G12" s="504">
        <v>0</v>
      </c>
      <c r="H12" s="505">
        <v>54621</v>
      </c>
      <c r="I12" s="504">
        <v>0</v>
      </c>
      <c r="J12" s="504">
        <v>0</v>
      </c>
      <c r="K12" s="504">
        <v>0</v>
      </c>
      <c r="L12" s="506">
        <v>88.234399999999994</v>
      </c>
      <c r="M12" s="505">
        <v>18.899999999999999</v>
      </c>
      <c r="N12" s="507">
        <v>0</v>
      </c>
      <c r="O12" s="508">
        <v>7</v>
      </c>
      <c r="P12" s="493">
        <f t="shared" si="0"/>
        <v>7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7</v>
      </c>
      <c r="W12" s="515">
        <f t="shared" si="10"/>
        <v>247.20268999999999</v>
      </c>
      <c r="Y12" s="513">
        <f t="shared" si="11"/>
        <v>6.0892262467307438E-2</v>
      </c>
      <c r="Z12" s="510">
        <f t="shared" si="12"/>
        <v>0.2549437244981228</v>
      </c>
      <c r="AA12" s="511">
        <f t="shared" si="13"/>
        <v>0.24163934167086792</v>
      </c>
      <c r="AE12" s="598" t="str">
        <f t="shared" si="3"/>
        <v>56027</v>
      </c>
      <c r="AF12" s="502">
        <v>87</v>
      </c>
      <c r="AG12" s="606">
        <v>10</v>
      </c>
      <c r="AH12" s="607">
        <v>56027</v>
      </c>
      <c r="AI12" s="608">
        <f t="shared" si="4"/>
        <v>56027</v>
      </c>
      <c r="AJ12" s="609">
        <f t="shared" si="5"/>
        <v>0</v>
      </c>
      <c r="AL12" s="602">
        <f t="shared" si="6"/>
        <v>9</v>
      </c>
      <c r="AM12" s="610">
        <f t="shared" si="6"/>
        <v>7</v>
      </c>
      <c r="AN12" s="611">
        <f t="shared" si="7"/>
        <v>-2</v>
      </c>
      <c r="AO12" s="612">
        <f t="shared" si="8"/>
        <v>-0.2857142857142857</v>
      </c>
    </row>
    <row r="13" spans="1:41" x14ac:dyDescent="0.2">
      <c r="A13" s="502">
        <v>87</v>
      </c>
      <c r="B13" s="503">
        <v>0.375</v>
      </c>
      <c r="C13" s="504">
        <v>2013</v>
      </c>
      <c r="D13" s="504">
        <v>3</v>
      </c>
      <c r="E13" s="504">
        <v>11</v>
      </c>
      <c r="F13" s="505">
        <v>56034</v>
      </c>
      <c r="G13" s="504">
        <v>0</v>
      </c>
      <c r="H13" s="505">
        <v>54622</v>
      </c>
      <c r="I13" s="504">
        <v>0</v>
      </c>
      <c r="J13" s="504">
        <v>0</v>
      </c>
      <c r="K13" s="504">
        <v>0</v>
      </c>
      <c r="L13" s="506">
        <v>87.690100000000001</v>
      </c>
      <c r="M13" s="505">
        <v>18.600000000000001</v>
      </c>
      <c r="N13" s="507">
        <v>0</v>
      </c>
      <c r="O13" s="508">
        <v>82</v>
      </c>
      <c r="P13" s="493">
        <f t="shared" si="0"/>
        <v>82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82</v>
      </c>
      <c r="W13" s="515">
        <f t="shared" si="10"/>
        <v>2895.80294</v>
      </c>
      <c r="Y13" s="513">
        <f t="shared" si="11"/>
        <v>0.71207401111305835</v>
      </c>
      <c r="Z13" s="510">
        <f t="shared" si="12"/>
        <v>2.9813114697281522</v>
      </c>
      <c r="AA13" s="511">
        <f t="shared" si="13"/>
        <v>2.825730040145479</v>
      </c>
      <c r="AE13" s="598" t="str">
        <f t="shared" si="3"/>
        <v>56034</v>
      </c>
      <c r="AF13" s="502">
        <v>87</v>
      </c>
      <c r="AG13" s="606">
        <v>11</v>
      </c>
      <c r="AH13" s="607">
        <v>56036</v>
      </c>
      <c r="AI13" s="608">
        <f t="shared" si="4"/>
        <v>56034</v>
      </c>
      <c r="AJ13" s="609">
        <f t="shared" si="5"/>
        <v>-2</v>
      </c>
      <c r="AL13" s="602">
        <f t="shared" si="6"/>
        <v>80</v>
      </c>
      <c r="AM13" s="610">
        <f t="shared" si="6"/>
        <v>82</v>
      </c>
      <c r="AN13" s="611">
        <f t="shared" si="7"/>
        <v>2</v>
      </c>
      <c r="AO13" s="612">
        <f t="shared" si="8"/>
        <v>2.4390243902439025E-2</v>
      </c>
    </row>
    <row r="14" spans="1:41" x14ac:dyDescent="0.2">
      <c r="A14" s="502">
        <v>87</v>
      </c>
      <c r="B14" s="503">
        <v>0.375</v>
      </c>
      <c r="C14" s="504">
        <v>2013</v>
      </c>
      <c r="D14" s="504">
        <v>3</v>
      </c>
      <c r="E14" s="504">
        <v>12</v>
      </c>
      <c r="F14" s="505">
        <v>56116</v>
      </c>
      <c r="G14" s="504">
        <v>0</v>
      </c>
      <c r="H14" s="505">
        <v>54634</v>
      </c>
      <c r="I14" s="504">
        <v>0</v>
      </c>
      <c r="J14" s="504">
        <v>0</v>
      </c>
      <c r="K14" s="504">
        <v>0</v>
      </c>
      <c r="L14" s="506">
        <v>86.995599999999996</v>
      </c>
      <c r="M14" s="505">
        <v>16.7</v>
      </c>
      <c r="N14" s="507">
        <v>0</v>
      </c>
      <c r="O14" s="508">
        <v>70</v>
      </c>
      <c r="P14" s="493">
        <f t="shared" si="0"/>
        <v>70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70</v>
      </c>
      <c r="W14" s="515">
        <f t="shared" si="10"/>
        <v>2472.0268999999998</v>
      </c>
      <c r="Y14" s="513">
        <f t="shared" si="11"/>
        <v>0.60812932998882141</v>
      </c>
      <c r="Z14" s="510">
        <f t="shared" si="12"/>
        <v>2.5461158787971971</v>
      </c>
      <c r="AA14" s="511">
        <f t="shared" si="13"/>
        <v>2.4132453779023231</v>
      </c>
      <c r="AE14" s="598" t="str">
        <f t="shared" si="3"/>
        <v>56116</v>
      </c>
      <c r="AF14" s="502">
        <v>87</v>
      </c>
      <c r="AG14" s="606">
        <v>12</v>
      </c>
      <c r="AH14" s="607">
        <v>56116</v>
      </c>
      <c r="AI14" s="608">
        <f t="shared" si="4"/>
        <v>56116</v>
      </c>
      <c r="AJ14" s="609">
        <f t="shared" si="5"/>
        <v>0</v>
      </c>
      <c r="AL14" s="602">
        <f t="shared" si="6"/>
        <v>71</v>
      </c>
      <c r="AM14" s="610">
        <f t="shared" si="6"/>
        <v>70</v>
      </c>
      <c r="AN14" s="611">
        <f t="shared" si="7"/>
        <v>-1</v>
      </c>
      <c r="AO14" s="612">
        <f t="shared" si="8"/>
        <v>-1.4285714285714285E-2</v>
      </c>
    </row>
    <row r="15" spans="1:41" x14ac:dyDescent="0.2">
      <c r="A15" s="502">
        <v>87</v>
      </c>
      <c r="B15" s="503">
        <v>0.375</v>
      </c>
      <c r="C15" s="504">
        <v>2013</v>
      </c>
      <c r="D15" s="504">
        <v>3</v>
      </c>
      <c r="E15" s="504">
        <v>13</v>
      </c>
      <c r="F15" s="505">
        <v>56186</v>
      </c>
      <c r="G15" s="504">
        <v>0</v>
      </c>
      <c r="H15" s="505">
        <v>54644</v>
      </c>
      <c r="I15" s="504">
        <v>0</v>
      </c>
      <c r="J15" s="504">
        <v>0</v>
      </c>
      <c r="K15" s="504">
        <v>0</v>
      </c>
      <c r="L15" s="506">
        <v>87.053200000000004</v>
      </c>
      <c r="M15" s="505">
        <v>16.399999999999999</v>
      </c>
      <c r="N15" s="507">
        <v>0</v>
      </c>
      <c r="O15" s="508">
        <v>18</v>
      </c>
      <c r="P15" s="493">
        <f t="shared" si="0"/>
        <v>18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18</v>
      </c>
      <c r="W15" s="515">
        <f t="shared" si="10"/>
        <v>635.66405999999995</v>
      </c>
      <c r="Y15" s="513">
        <f t="shared" si="11"/>
        <v>0.15600488185209846</v>
      </c>
      <c r="Z15" s="510">
        <f t="shared" si="12"/>
        <v>0.6531612393383659</v>
      </c>
      <c r="AA15" s="511">
        <f t="shared" si="13"/>
        <v>0.619075649692303</v>
      </c>
      <c r="AE15" s="598" t="str">
        <f t="shared" si="3"/>
        <v>56186</v>
      </c>
      <c r="AF15" s="502">
        <v>87</v>
      </c>
      <c r="AG15" s="606">
        <v>13</v>
      </c>
      <c r="AH15" s="607">
        <v>56187</v>
      </c>
      <c r="AI15" s="608">
        <f t="shared" si="4"/>
        <v>56186</v>
      </c>
      <c r="AJ15" s="609">
        <f t="shared" si="5"/>
        <v>-1</v>
      </c>
      <c r="AL15" s="602">
        <f t="shared" si="6"/>
        <v>17</v>
      </c>
      <c r="AM15" s="610">
        <f t="shared" si="6"/>
        <v>18</v>
      </c>
      <c r="AN15" s="611">
        <f t="shared" si="7"/>
        <v>1</v>
      </c>
      <c r="AO15" s="612">
        <f t="shared" si="8"/>
        <v>5.5555555555555552E-2</v>
      </c>
    </row>
    <row r="16" spans="1:41" x14ac:dyDescent="0.2">
      <c r="A16" s="502">
        <v>87</v>
      </c>
      <c r="B16" s="503">
        <v>0.375</v>
      </c>
      <c r="C16" s="504">
        <v>2013</v>
      </c>
      <c r="D16" s="504">
        <v>3</v>
      </c>
      <c r="E16" s="504">
        <v>14</v>
      </c>
      <c r="F16" s="505">
        <v>56204</v>
      </c>
      <c r="G16" s="504">
        <v>0</v>
      </c>
      <c r="H16" s="505">
        <v>54647</v>
      </c>
      <c r="I16" s="504">
        <v>0</v>
      </c>
      <c r="J16" s="504">
        <v>0</v>
      </c>
      <c r="K16" s="504">
        <v>0</v>
      </c>
      <c r="L16" s="506">
        <v>87.125799999999998</v>
      </c>
      <c r="M16" s="505">
        <v>12.8</v>
      </c>
      <c r="N16" s="507">
        <v>0</v>
      </c>
      <c r="O16" s="508">
        <v>1</v>
      </c>
      <c r="P16" s="493">
        <f t="shared" si="0"/>
        <v>1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</v>
      </c>
      <c r="W16" s="515">
        <f t="shared" si="10"/>
        <v>35.31467</v>
      </c>
      <c r="Y16" s="513">
        <f t="shared" si="11"/>
        <v>8.6444947248490254E-3</v>
      </c>
      <c r="Z16" s="510">
        <f t="shared" si="12"/>
        <v>3.6192770513997899E-2</v>
      </c>
      <c r="AA16" s="511">
        <f t="shared" si="13"/>
        <v>3.4304030261829987E-2</v>
      </c>
      <c r="AE16" s="598" t="str">
        <f t="shared" si="3"/>
        <v>56204</v>
      </c>
      <c r="AF16" s="502">
        <v>87</v>
      </c>
      <c r="AG16" s="606">
        <v>14</v>
      </c>
      <c r="AH16" s="607">
        <v>56204</v>
      </c>
      <c r="AI16" s="608">
        <f t="shared" si="4"/>
        <v>56204</v>
      </c>
      <c r="AJ16" s="609">
        <f t="shared" si="5"/>
        <v>0</v>
      </c>
      <c r="AL16" s="602">
        <f t="shared" si="6"/>
        <v>-56204</v>
      </c>
      <c r="AM16" s="610">
        <f t="shared" si="6"/>
        <v>1</v>
      </c>
      <c r="AN16" s="611">
        <f t="shared" si="7"/>
        <v>56205</v>
      </c>
      <c r="AO16" s="612">
        <f t="shared" si="8"/>
        <v>56205</v>
      </c>
    </row>
    <row r="17" spans="1:41" x14ac:dyDescent="0.2">
      <c r="A17" s="502">
        <v>87</v>
      </c>
      <c r="B17" s="503">
        <v>0.375</v>
      </c>
      <c r="C17" s="504">
        <v>2013</v>
      </c>
      <c r="D17" s="504">
        <v>3</v>
      </c>
      <c r="E17" s="504">
        <v>15</v>
      </c>
      <c r="F17" s="505">
        <v>56205</v>
      </c>
      <c r="G17" s="504">
        <v>0</v>
      </c>
      <c r="H17" s="505">
        <v>54647</v>
      </c>
      <c r="I17" s="504">
        <v>0</v>
      </c>
      <c r="J17" s="504">
        <v>0</v>
      </c>
      <c r="K17" s="504">
        <v>0</v>
      </c>
      <c r="L17" s="506">
        <v>87.108699999999999</v>
      </c>
      <c r="M17" s="505">
        <v>11.8</v>
      </c>
      <c r="N17" s="507">
        <v>0</v>
      </c>
      <c r="O17" s="508">
        <v>0</v>
      </c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>56205</v>
      </c>
      <c r="AF17" s="502"/>
      <c r="AG17" s="606"/>
      <c r="AH17" s="607"/>
      <c r="AI17" s="608">
        <f t="shared" si="4"/>
        <v>56205</v>
      </c>
      <c r="AJ17" s="609">
        <f t="shared" si="5"/>
        <v>56205</v>
      </c>
      <c r="AL17" s="602">
        <f t="shared" si="6"/>
        <v>56205</v>
      </c>
      <c r="AM17" s="610">
        <f t="shared" si="6"/>
        <v>0</v>
      </c>
      <c r="AN17" s="611">
        <f t="shared" si="7"/>
        <v>-56205</v>
      </c>
      <c r="AO17" s="612" t="str">
        <f t="shared" si="8"/>
        <v/>
      </c>
    </row>
    <row r="18" spans="1:41" x14ac:dyDescent="0.2">
      <c r="A18" s="502">
        <v>87</v>
      </c>
      <c r="B18" s="503">
        <v>0.375</v>
      </c>
      <c r="C18" s="504">
        <v>2013</v>
      </c>
      <c r="D18" s="504">
        <v>3</v>
      </c>
      <c r="E18" s="504">
        <v>16</v>
      </c>
      <c r="F18" s="505">
        <v>56205</v>
      </c>
      <c r="G18" s="504">
        <v>0</v>
      </c>
      <c r="H18" s="505">
        <v>54647</v>
      </c>
      <c r="I18" s="504">
        <v>0</v>
      </c>
      <c r="J18" s="504">
        <v>0</v>
      </c>
      <c r="K18" s="504">
        <v>0</v>
      </c>
      <c r="L18" s="506">
        <v>87.335800000000006</v>
      </c>
      <c r="M18" s="505">
        <v>10.5</v>
      </c>
      <c r="N18" s="507">
        <v>0</v>
      </c>
      <c r="O18" s="508">
        <v>0</v>
      </c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>56205</v>
      </c>
      <c r="AF18" s="502">
        <v>87</v>
      </c>
      <c r="AG18" s="606">
        <v>16</v>
      </c>
      <c r="AH18" s="607">
        <v>56205</v>
      </c>
      <c r="AI18" s="608">
        <f t="shared" si="4"/>
        <v>56205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>
        <v>87</v>
      </c>
      <c r="B19" s="503">
        <v>0.375</v>
      </c>
      <c r="C19" s="504">
        <v>2013</v>
      </c>
      <c r="D19" s="504">
        <v>3</v>
      </c>
      <c r="E19" s="504">
        <v>17</v>
      </c>
      <c r="F19" s="505">
        <v>56205</v>
      </c>
      <c r="G19" s="504">
        <v>0</v>
      </c>
      <c r="H19" s="505">
        <v>54647</v>
      </c>
      <c r="I19" s="504">
        <v>0</v>
      </c>
      <c r="J19" s="504">
        <v>0</v>
      </c>
      <c r="K19" s="504">
        <v>0</v>
      </c>
      <c r="L19" s="506">
        <v>88.896199999999993</v>
      </c>
      <c r="M19" s="505">
        <v>10.8</v>
      </c>
      <c r="N19" s="507">
        <v>0</v>
      </c>
      <c r="O19" s="508">
        <v>0</v>
      </c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>56205</v>
      </c>
      <c r="AF19" s="502">
        <v>87</v>
      </c>
      <c r="AG19" s="606">
        <v>17</v>
      </c>
      <c r="AH19" s="607">
        <v>56205</v>
      </c>
      <c r="AI19" s="608">
        <f t="shared" si="4"/>
        <v>56205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>
        <v>87</v>
      </c>
      <c r="B20" s="503">
        <v>0.375</v>
      </c>
      <c r="C20" s="504">
        <v>2013</v>
      </c>
      <c r="D20" s="504">
        <v>3</v>
      </c>
      <c r="E20" s="504">
        <v>18</v>
      </c>
      <c r="F20" s="505">
        <v>56205</v>
      </c>
      <c r="G20" s="504">
        <v>0</v>
      </c>
      <c r="H20" s="505">
        <v>54647</v>
      </c>
      <c r="I20" s="504">
        <v>0</v>
      </c>
      <c r="J20" s="504">
        <v>0</v>
      </c>
      <c r="K20" s="504">
        <v>0</v>
      </c>
      <c r="L20" s="506">
        <v>88.8489</v>
      </c>
      <c r="M20" s="505">
        <v>15.9</v>
      </c>
      <c r="N20" s="507">
        <v>0</v>
      </c>
      <c r="O20" s="508">
        <v>0</v>
      </c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>56205</v>
      </c>
      <c r="AF20" s="502">
        <v>87</v>
      </c>
      <c r="AG20" s="606">
        <v>18</v>
      </c>
      <c r="AH20" s="607">
        <v>56205</v>
      </c>
      <c r="AI20" s="608">
        <f t="shared" si="4"/>
        <v>56205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>
        <v>87</v>
      </c>
      <c r="B21" s="503">
        <v>0.375</v>
      </c>
      <c r="C21" s="504">
        <v>2013</v>
      </c>
      <c r="D21" s="504">
        <v>3</v>
      </c>
      <c r="E21" s="504">
        <v>19</v>
      </c>
      <c r="F21" s="505">
        <v>56205</v>
      </c>
      <c r="G21" s="504">
        <v>0</v>
      </c>
      <c r="H21" s="505">
        <v>54647</v>
      </c>
      <c r="I21" s="504">
        <v>0</v>
      </c>
      <c r="J21" s="504">
        <v>0</v>
      </c>
      <c r="K21" s="504">
        <v>0</v>
      </c>
      <c r="L21" s="506">
        <v>88.15</v>
      </c>
      <c r="M21" s="505">
        <v>17.100000000000001</v>
      </c>
      <c r="N21" s="507">
        <v>0</v>
      </c>
      <c r="O21" s="508">
        <v>2</v>
      </c>
      <c r="P21" s="493">
        <f t="shared" si="0"/>
        <v>2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2</v>
      </c>
      <c r="W21" s="515">
        <f t="shared" si="10"/>
        <v>70.629339999999999</v>
      </c>
      <c r="Y21" s="513">
        <f t="shared" si="11"/>
        <v>1.7505766815918936E-2</v>
      </c>
      <c r="Z21" s="510">
        <f t="shared" si="12"/>
        <v>7.3293144504889399E-2</v>
      </c>
      <c r="AA21" s="511">
        <f t="shared" si="13"/>
        <v>6.9468300198460745E-2</v>
      </c>
      <c r="AE21" s="598" t="str">
        <f t="shared" si="3"/>
        <v>56205</v>
      </c>
      <c r="AF21" s="502">
        <v>87</v>
      </c>
      <c r="AG21" s="606">
        <v>19</v>
      </c>
      <c r="AH21" s="607">
        <v>56205</v>
      </c>
      <c r="AI21" s="608">
        <f t="shared" si="4"/>
        <v>56205</v>
      </c>
      <c r="AJ21" s="609">
        <f t="shared" si="5"/>
        <v>0</v>
      </c>
      <c r="AL21" s="602">
        <f t="shared" si="6"/>
        <v>1</v>
      </c>
      <c r="AM21" s="610">
        <f t="shared" si="6"/>
        <v>2</v>
      </c>
      <c r="AN21" s="611">
        <f t="shared" si="7"/>
        <v>1</v>
      </c>
      <c r="AO21" s="612">
        <f t="shared" si="8"/>
        <v>0.5</v>
      </c>
    </row>
    <row r="22" spans="1:41" x14ac:dyDescent="0.2">
      <c r="A22" s="502">
        <v>87</v>
      </c>
      <c r="B22" s="503">
        <v>0.375</v>
      </c>
      <c r="C22" s="504">
        <v>2013</v>
      </c>
      <c r="D22" s="504">
        <v>3</v>
      </c>
      <c r="E22" s="504">
        <v>20</v>
      </c>
      <c r="F22" s="505">
        <v>56207</v>
      </c>
      <c r="G22" s="504">
        <v>0</v>
      </c>
      <c r="H22" s="505">
        <v>54647</v>
      </c>
      <c r="I22" s="504">
        <v>0</v>
      </c>
      <c r="J22" s="504">
        <v>0</v>
      </c>
      <c r="K22" s="504">
        <v>0</v>
      </c>
      <c r="L22" s="506">
        <v>87.097800000000007</v>
      </c>
      <c r="M22" s="505">
        <v>18.5</v>
      </c>
      <c r="N22" s="507">
        <v>0</v>
      </c>
      <c r="O22" s="508">
        <v>0</v>
      </c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>56207</v>
      </c>
      <c r="AF22" s="502">
        <v>87</v>
      </c>
      <c r="AG22" s="606">
        <v>20</v>
      </c>
      <c r="AH22" s="607">
        <v>56206</v>
      </c>
      <c r="AI22" s="608">
        <f t="shared" si="4"/>
        <v>56207</v>
      </c>
      <c r="AJ22" s="609">
        <f t="shared" si="5"/>
        <v>1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>
        <v>87</v>
      </c>
      <c r="B23" s="503">
        <v>0.375</v>
      </c>
      <c r="C23" s="504">
        <v>2013</v>
      </c>
      <c r="D23" s="504">
        <v>3</v>
      </c>
      <c r="E23" s="504">
        <v>21</v>
      </c>
      <c r="F23" s="505">
        <v>56207</v>
      </c>
      <c r="G23" s="504">
        <v>0</v>
      </c>
      <c r="H23" s="505">
        <v>54647</v>
      </c>
      <c r="I23" s="504">
        <v>0</v>
      </c>
      <c r="J23" s="504">
        <v>0</v>
      </c>
      <c r="K23" s="504">
        <v>0</v>
      </c>
      <c r="L23" s="506">
        <v>86.878699999999995</v>
      </c>
      <c r="M23" s="505">
        <v>17.5</v>
      </c>
      <c r="N23" s="507">
        <v>0</v>
      </c>
      <c r="O23" s="508">
        <v>69</v>
      </c>
      <c r="P23" s="493">
        <f t="shared" si="0"/>
        <v>69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69</v>
      </c>
      <c r="W23" s="515">
        <f t="shared" si="10"/>
        <v>2436.7122300000001</v>
      </c>
      <c r="Y23" s="513">
        <f t="shared" si="11"/>
        <v>0.60394895514920321</v>
      </c>
      <c r="Z23" s="510">
        <f t="shared" si="12"/>
        <v>2.5286134854186844</v>
      </c>
      <c r="AA23" s="511">
        <f t="shared" si="13"/>
        <v>2.3966563568468957</v>
      </c>
      <c r="AE23" s="598" t="str">
        <f t="shared" si="3"/>
        <v>56207</v>
      </c>
      <c r="AF23" s="502">
        <v>87</v>
      </c>
      <c r="AG23" s="606">
        <v>21</v>
      </c>
      <c r="AH23" s="607">
        <v>56206</v>
      </c>
      <c r="AI23" s="608">
        <f t="shared" si="4"/>
        <v>56207</v>
      </c>
      <c r="AJ23" s="609">
        <f t="shared" si="5"/>
        <v>1</v>
      </c>
      <c r="AL23" s="602">
        <f t="shared" si="6"/>
        <v>71</v>
      </c>
      <c r="AM23" s="610">
        <f t="shared" si="6"/>
        <v>69</v>
      </c>
      <c r="AN23" s="611">
        <f t="shared" si="7"/>
        <v>-2</v>
      </c>
      <c r="AO23" s="612">
        <f t="shared" si="8"/>
        <v>-2.8985507246376812E-2</v>
      </c>
    </row>
    <row r="24" spans="1:41" x14ac:dyDescent="0.2">
      <c r="A24" s="502">
        <v>87</v>
      </c>
      <c r="B24" s="503">
        <v>0.375</v>
      </c>
      <c r="C24" s="504">
        <v>2013</v>
      </c>
      <c r="D24" s="504">
        <v>3</v>
      </c>
      <c r="E24" s="504">
        <v>22</v>
      </c>
      <c r="F24" s="505">
        <v>56276</v>
      </c>
      <c r="G24" s="504">
        <v>0</v>
      </c>
      <c r="H24" s="505">
        <v>54657</v>
      </c>
      <c r="I24" s="504">
        <v>0</v>
      </c>
      <c r="J24" s="504">
        <v>0</v>
      </c>
      <c r="K24" s="504">
        <v>0</v>
      </c>
      <c r="L24" s="506">
        <v>86.809799999999996</v>
      </c>
      <c r="M24" s="505">
        <v>18.7</v>
      </c>
      <c r="N24" s="507">
        <v>0</v>
      </c>
      <c r="O24" s="508">
        <v>53</v>
      </c>
      <c r="P24" s="493">
        <f t="shared" si="0"/>
        <v>53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53</v>
      </c>
      <c r="W24" s="515">
        <f t="shared" si="10"/>
        <v>1871.67751</v>
      </c>
      <c r="Y24" s="513">
        <f t="shared" si="11"/>
        <v>0.46390282062185179</v>
      </c>
      <c r="Z24" s="510">
        <f t="shared" si="12"/>
        <v>1.9422683293795691</v>
      </c>
      <c r="AA24" s="511">
        <f t="shared" si="13"/>
        <v>1.8409099552592094</v>
      </c>
      <c r="AE24" s="598" t="str">
        <f t="shared" si="3"/>
        <v>56276</v>
      </c>
      <c r="AF24" s="502">
        <v>87</v>
      </c>
      <c r="AG24" s="606">
        <v>22</v>
      </c>
      <c r="AH24" s="607">
        <v>56277</v>
      </c>
      <c r="AI24" s="608">
        <f t="shared" si="4"/>
        <v>56276</v>
      </c>
      <c r="AJ24" s="609">
        <f t="shared" si="5"/>
        <v>-1</v>
      </c>
      <c r="AL24" s="602">
        <f t="shared" si="6"/>
        <v>52</v>
      </c>
      <c r="AM24" s="610">
        <f t="shared" si="6"/>
        <v>53</v>
      </c>
      <c r="AN24" s="611">
        <f t="shared" si="7"/>
        <v>1</v>
      </c>
      <c r="AO24" s="612">
        <f t="shared" si="8"/>
        <v>1.8867924528301886E-2</v>
      </c>
    </row>
    <row r="25" spans="1:41" x14ac:dyDescent="0.2">
      <c r="A25" s="502">
        <v>87</v>
      </c>
      <c r="B25" s="503">
        <v>0.375</v>
      </c>
      <c r="C25" s="504">
        <v>2013</v>
      </c>
      <c r="D25" s="504">
        <v>3</v>
      </c>
      <c r="E25" s="504">
        <v>23</v>
      </c>
      <c r="F25" s="505">
        <v>56329</v>
      </c>
      <c r="G25" s="504">
        <v>0</v>
      </c>
      <c r="H25" s="505">
        <v>54665</v>
      </c>
      <c r="I25" s="504">
        <v>0</v>
      </c>
      <c r="J25" s="504">
        <v>0</v>
      </c>
      <c r="K25" s="504">
        <v>0</v>
      </c>
      <c r="L25" s="506">
        <v>87.121700000000004</v>
      </c>
      <c r="M25" s="505">
        <v>18.8</v>
      </c>
      <c r="N25" s="507">
        <v>0</v>
      </c>
      <c r="O25" s="508">
        <v>0</v>
      </c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>56329</v>
      </c>
      <c r="AF25" s="502">
        <v>87</v>
      </c>
      <c r="AG25" s="606">
        <v>23</v>
      </c>
      <c r="AH25" s="607">
        <v>56329</v>
      </c>
      <c r="AI25" s="608">
        <f t="shared" si="4"/>
        <v>56329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>
        <v>87</v>
      </c>
      <c r="B26" s="503">
        <v>0.375</v>
      </c>
      <c r="C26" s="504">
        <v>2013</v>
      </c>
      <c r="D26" s="504">
        <v>3</v>
      </c>
      <c r="E26" s="504">
        <v>24</v>
      </c>
      <c r="F26" s="505">
        <v>56329</v>
      </c>
      <c r="G26" s="504">
        <v>0</v>
      </c>
      <c r="H26" s="505">
        <v>54665</v>
      </c>
      <c r="I26" s="504">
        <v>0</v>
      </c>
      <c r="J26" s="504">
        <v>0</v>
      </c>
      <c r="K26" s="504">
        <v>0</v>
      </c>
      <c r="L26" s="506">
        <v>87.943399999999997</v>
      </c>
      <c r="M26" s="505">
        <v>19.5</v>
      </c>
      <c r="N26" s="507">
        <v>0</v>
      </c>
      <c r="O26" s="508">
        <v>0</v>
      </c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>56329</v>
      </c>
      <c r="AF26" s="502">
        <v>87</v>
      </c>
      <c r="AG26" s="606">
        <v>24</v>
      </c>
      <c r="AH26" s="607">
        <v>56329</v>
      </c>
      <c r="AI26" s="608">
        <f t="shared" si="4"/>
        <v>56329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>
        <v>87</v>
      </c>
      <c r="B27" s="503">
        <v>0.375</v>
      </c>
      <c r="C27" s="504">
        <v>2013</v>
      </c>
      <c r="D27" s="504">
        <v>3</v>
      </c>
      <c r="E27" s="504">
        <v>25</v>
      </c>
      <c r="F27" s="505">
        <v>56329</v>
      </c>
      <c r="G27" s="504">
        <v>0</v>
      </c>
      <c r="H27" s="505">
        <v>54665</v>
      </c>
      <c r="I27" s="504">
        <v>0</v>
      </c>
      <c r="J27" s="504">
        <v>0</v>
      </c>
      <c r="K27" s="504">
        <v>0</v>
      </c>
      <c r="L27" s="506">
        <v>87.490399999999994</v>
      </c>
      <c r="M27" s="505">
        <v>17.600000000000001</v>
      </c>
      <c r="N27" s="507">
        <v>0</v>
      </c>
      <c r="O27" s="508">
        <v>0</v>
      </c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>56329</v>
      </c>
      <c r="AF27" s="502">
        <v>87</v>
      </c>
      <c r="AG27" s="606">
        <v>25</v>
      </c>
      <c r="AH27" s="607">
        <v>56329</v>
      </c>
      <c r="AI27" s="608">
        <f t="shared" si="4"/>
        <v>56329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>
        <v>87</v>
      </c>
      <c r="B28" s="503">
        <v>0.375</v>
      </c>
      <c r="C28" s="504">
        <v>2013</v>
      </c>
      <c r="D28" s="504">
        <v>3</v>
      </c>
      <c r="E28" s="504">
        <v>26</v>
      </c>
      <c r="F28" s="505">
        <v>56329</v>
      </c>
      <c r="G28" s="504">
        <v>0</v>
      </c>
      <c r="H28" s="505">
        <v>54665</v>
      </c>
      <c r="I28" s="504">
        <v>0</v>
      </c>
      <c r="J28" s="504">
        <v>0</v>
      </c>
      <c r="K28" s="504">
        <v>0</v>
      </c>
      <c r="L28" s="506">
        <v>86.860699999999994</v>
      </c>
      <c r="M28" s="505">
        <v>16.7</v>
      </c>
      <c r="N28" s="507">
        <v>0</v>
      </c>
      <c r="O28" s="508">
        <v>1</v>
      </c>
      <c r="P28" s="493">
        <f t="shared" si="0"/>
        <v>1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</v>
      </c>
      <c r="W28" s="515">
        <f t="shared" si="10"/>
        <v>35.31467</v>
      </c>
      <c r="Y28" s="513">
        <f t="shared" si="11"/>
        <v>8.7528834079594678E-3</v>
      </c>
      <c r="Z28" s="510">
        <f t="shared" si="12"/>
        <v>3.6646572252444699E-2</v>
      </c>
      <c r="AA28" s="511">
        <f t="shared" si="13"/>
        <v>3.4734150099230372E-2</v>
      </c>
      <c r="AE28" s="598" t="str">
        <f t="shared" si="3"/>
        <v>56329</v>
      </c>
      <c r="AF28" s="502">
        <v>87</v>
      </c>
      <c r="AG28" s="606">
        <v>26</v>
      </c>
      <c r="AH28" s="607">
        <v>56329</v>
      </c>
      <c r="AI28" s="608">
        <f t="shared" si="4"/>
        <v>56329</v>
      </c>
      <c r="AJ28" s="609">
        <f t="shared" si="5"/>
        <v>0</v>
      </c>
      <c r="AL28" s="602">
        <f t="shared" si="6"/>
        <v>1</v>
      </c>
      <c r="AM28" s="610">
        <f t="shared" si="6"/>
        <v>1</v>
      </c>
      <c r="AN28" s="611">
        <f t="shared" si="7"/>
        <v>0</v>
      </c>
      <c r="AO28" s="612">
        <f t="shared" si="8"/>
        <v>0</v>
      </c>
    </row>
    <row r="29" spans="1:41" x14ac:dyDescent="0.2">
      <c r="A29" s="502">
        <v>87</v>
      </c>
      <c r="B29" s="503">
        <v>0.375</v>
      </c>
      <c r="C29" s="504">
        <v>2013</v>
      </c>
      <c r="D29" s="504">
        <v>3</v>
      </c>
      <c r="E29" s="504">
        <v>27</v>
      </c>
      <c r="F29" s="505">
        <v>56330</v>
      </c>
      <c r="G29" s="504">
        <v>0</v>
      </c>
      <c r="H29" s="505">
        <v>54665</v>
      </c>
      <c r="I29" s="504">
        <v>0</v>
      </c>
      <c r="J29" s="504">
        <v>0</v>
      </c>
      <c r="K29" s="504">
        <v>0</v>
      </c>
      <c r="L29" s="506">
        <v>87.107500000000002</v>
      </c>
      <c r="M29" s="505">
        <v>12.6</v>
      </c>
      <c r="N29" s="507">
        <v>0</v>
      </c>
      <c r="O29" s="508">
        <v>1</v>
      </c>
      <c r="P29" s="493">
        <f t="shared" si="0"/>
        <v>1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1</v>
      </c>
      <c r="W29" s="515">
        <f t="shared" si="10"/>
        <v>35.31467</v>
      </c>
      <c r="Y29" s="513">
        <f t="shared" si="11"/>
        <v>8.7528834079594678E-3</v>
      </c>
      <c r="Z29" s="510">
        <f t="shared" si="12"/>
        <v>3.6646572252444699E-2</v>
      </c>
      <c r="AA29" s="511">
        <f t="shared" si="13"/>
        <v>3.4734150099230372E-2</v>
      </c>
      <c r="AE29" s="598" t="str">
        <f t="shared" si="3"/>
        <v>56330</v>
      </c>
      <c r="AF29" s="502">
        <v>87</v>
      </c>
      <c r="AG29" s="606">
        <v>27</v>
      </c>
      <c r="AH29" s="607">
        <v>56330</v>
      </c>
      <c r="AI29" s="608">
        <f t="shared" si="4"/>
        <v>56330</v>
      </c>
      <c r="AJ29" s="609">
        <f t="shared" si="5"/>
        <v>0</v>
      </c>
      <c r="AL29" s="602">
        <f t="shared" si="6"/>
        <v>1</v>
      </c>
      <c r="AM29" s="610">
        <f t="shared" si="6"/>
        <v>1</v>
      </c>
      <c r="AN29" s="611">
        <f t="shared" si="7"/>
        <v>0</v>
      </c>
      <c r="AO29" s="612">
        <f t="shared" si="8"/>
        <v>0</v>
      </c>
    </row>
    <row r="30" spans="1:41" x14ac:dyDescent="0.2">
      <c r="A30" s="502">
        <v>87</v>
      </c>
      <c r="B30" s="503">
        <v>0.375</v>
      </c>
      <c r="C30" s="504">
        <v>2013</v>
      </c>
      <c r="D30" s="504">
        <v>3</v>
      </c>
      <c r="E30" s="504">
        <v>28</v>
      </c>
      <c r="F30" s="505">
        <v>56331</v>
      </c>
      <c r="G30" s="504">
        <v>0</v>
      </c>
      <c r="H30" s="505">
        <v>54665</v>
      </c>
      <c r="I30" s="504">
        <v>0</v>
      </c>
      <c r="J30" s="504">
        <v>0</v>
      </c>
      <c r="K30" s="504">
        <v>0</v>
      </c>
      <c r="L30" s="506">
        <v>87.850999999999999</v>
      </c>
      <c r="M30" s="505">
        <v>17.5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56331</v>
      </c>
      <c r="AF30" s="502">
        <v>87</v>
      </c>
      <c r="AG30" s="606">
        <v>28</v>
      </c>
      <c r="AH30" s="607">
        <v>56331</v>
      </c>
      <c r="AI30" s="608">
        <f t="shared" si="4"/>
        <v>56331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87</v>
      </c>
      <c r="B31" s="503">
        <v>0.375</v>
      </c>
      <c r="C31" s="504">
        <v>2013</v>
      </c>
      <c r="D31" s="504">
        <v>3</v>
      </c>
      <c r="E31" s="504">
        <v>29</v>
      </c>
      <c r="F31" s="505">
        <v>56331</v>
      </c>
      <c r="G31" s="504">
        <v>0</v>
      </c>
      <c r="H31" s="505">
        <v>54665</v>
      </c>
      <c r="I31" s="504">
        <v>0</v>
      </c>
      <c r="J31" s="504">
        <v>0</v>
      </c>
      <c r="K31" s="504">
        <v>0</v>
      </c>
      <c r="L31" s="506">
        <v>89.269599999999997</v>
      </c>
      <c r="M31" s="505">
        <v>17.7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56331</v>
      </c>
      <c r="AF31" s="502">
        <v>87</v>
      </c>
      <c r="AG31" s="606">
        <v>29</v>
      </c>
      <c r="AH31" s="607">
        <v>56331</v>
      </c>
      <c r="AI31" s="608">
        <f t="shared" si="4"/>
        <v>56331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87</v>
      </c>
      <c r="B32" s="503">
        <v>0.375</v>
      </c>
      <c r="C32" s="504">
        <v>2013</v>
      </c>
      <c r="D32" s="504">
        <v>3</v>
      </c>
      <c r="E32" s="504">
        <v>30</v>
      </c>
      <c r="F32" s="505">
        <v>56331</v>
      </c>
      <c r="G32" s="504">
        <v>0</v>
      </c>
      <c r="H32" s="505">
        <v>54665</v>
      </c>
      <c r="I32" s="504">
        <v>0</v>
      </c>
      <c r="J32" s="504">
        <v>0</v>
      </c>
      <c r="K32" s="504">
        <v>0</v>
      </c>
      <c r="L32" s="506">
        <v>92.340199999999996</v>
      </c>
      <c r="M32" s="505">
        <v>19.100000000000001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56331</v>
      </c>
      <c r="AF32" s="502">
        <v>87</v>
      </c>
      <c r="AG32" s="606">
        <v>30</v>
      </c>
      <c r="AH32" s="607">
        <v>56331</v>
      </c>
      <c r="AI32" s="608">
        <f t="shared" si="4"/>
        <v>56331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87</v>
      </c>
      <c r="B33" s="503">
        <v>0.375</v>
      </c>
      <c r="C33" s="504">
        <v>2013</v>
      </c>
      <c r="D33" s="504">
        <v>3</v>
      </c>
      <c r="E33" s="504">
        <v>31</v>
      </c>
      <c r="F33" s="505">
        <v>56331</v>
      </c>
      <c r="G33" s="504">
        <v>0</v>
      </c>
      <c r="H33" s="505">
        <v>54665</v>
      </c>
      <c r="I33" s="504">
        <v>0</v>
      </c>
      <c r="J33" s="504">
        <v>0</v>
      </c>
      <c r="K33" s="504">
        <v>0</v>
      </c>
      <c r="L33" s="506">
        <v>91.8596</v>
      </c>
      <c r="M33" s="505">
        <v>19.5</v>
      </c>
      <c r="N33" s="507">
        <v>0</v>
      </c>
      <c r="O33" s="508">
        <v>0</v>
      </c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>56331</v>
      </c>
      <c r="AF33" s="502">
        <v>87</v>
      </c>
      <c r="AG33" s="606">
        <v>31</v>
      </c>
      <c r="AH33" s="607">
        <v>56331</v>
      </c>
      <c r="AI33" s="608">
        <f t="shared" si="4"/>
        <v>56331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>
        <v>87</v>
      </c>
      <c r="B34" s="520">
        <v>0.375</v>
      </c>
      <c r="C34" s="146">
        <v>2013</v>
      </c>
      <c r="D34" s="146">
        <v>4</v>
      </c>
      <c r="E34" s="146">
        <v>1</v>
      </c>
      <c r="F34" s="521">
        <v>56331</v>
      </c>
      <c r="G34" s="146">
        <v>0</v>
      </c>
      <c r="H34" s="521">
        <v>54665</v>
      </c>
      <c r="I34" s="146">
        <v>0</v>
      </c>
      <c r="J34" s="146">
        <v>0</v>
      </c>
      <c r="K34" s="146">
        <v>0</v>
      </c>
      <c r="L34" s="522">
        <v>88.804299999999998</v>
      </c>
      <c r="M34" s="521">
        <v>20.100000000000001</v>
      </c>
      <c r="N34" s="523">
        <v>0</v>
      </c>
      <c r="O34" s="524">
        <v>0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56331</v>
      </c>
      <c r="AF34" s="148">
        <v>87</v>
      </c>
      <c r="AG34" s="614">
        <v>1</v>
      </c>
      <c r="AH34" s="615">
        <v>56331</v>
      </c>
      <c r="AI34" s="616">
        <f t="shared" si="4"/>
        <v>56331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324.11669999999998</v>
      </c>
      <c r="M36" s="535">
        <f>MAX(M3:M34)</f>
        <v>20.100000000000001</v>
      </c>
      <c r="N36" s="533" t="s">
        <v>68</v>
      </c>
      <c r="O36" s="535">
        <f>SUM(O3:O33)</f>
        <v>589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589</v>
      </c>
      <c r="W36" s="539">
        <f>SUM(W3:W33)</f>
        <v>20800.340629999999</v>
      </c>
      <c r="Y36" s="540">
        <f>SUM(Y3:Y33)</f>
        <v>5.1132910914087519</v>
      </c>
      <c r="Z36" s="541">
        <f>SUM(Z3:Z33)</f>
        <v>21.408327141510163</v>
      </c>
      <c r="AA36" s="542">
        <f>SUM(AA3:AA33)</f>
        <v>20.29112145016607</v>
      </c>
      <c r="AF36" s="621" t="s">
        <v>208</v>
      </c>
      <c r="AG36" s="534">
        <f>COUNT(AG3:AG34)</f>
        <v>31</v>
      </c>
      <c r="AJ36" s="622">
        <f>SUM(AJ3:AJ33)</f>
        <v>56204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95.245612500000021</v>
      </c>
      <c r="M37" s="543">
        <f>AVERAGE(M3:M34)</f>
        <v>15.406250000000004</v>
      </c>
      <c r="N37" s="533" t="s">
        <v>172</v>
      </c>
      <c r="O37" s="544">
        <f>O36*35.31467</f>
        <v>20800.340629999999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1</v>
      </c>
      <c r="AN37" s="627">
        <f>IFERROR(AN36/SUM(AM3:AM33),"")</f>
        <v>0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86.732100000000003</v>
      </c>
      <c r="M38" s="544">
        <f>MIN(M3:M34)</f>
        <v>4.3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104.77017375000003</v>
      </c>
      <c r="M44" s="551">
        <f>M37*(1+$L$43)</f>
        <v>16.946875000000006</v>
      </c>
    </row>
    <row r="45" spans="1:41" x14ac:dyDescent="0.2">
      <c r="K45" s="550" t="s">
        <v>186</v>
      </c>
      <c r="L45" s="551">
        <f>L37*(1-$L$43)</f>
        <v>85.721051250000016</v>
      </c>
      <c r="M45" s="551">
        <f>M37*(1-$L$43)</f>
        <v>13.865625000000003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055" priority="47" stopIfTrue="1" operator="lessThan">
      <formula>$L$45</formula>
    </cfRule>
    <cfRule type="cellIs" dxfId="1054" priority="48" stopIfTrue="1" operator="greaterThan">
      <formula>$L$44</formula>
    </cfRule>
  </conditionalFormatting>
  <conditionalFormatting sqref="M3:M34">
    <cfRule type="cellIs" dxfId="1053" priority="45" stopIfTrue="1" operator="lessThan">
      <formula>$M$45</formula>
    </cfRule>
    <cfRule type="cellIs" dxfId="1052" priority="46" stopIfTrue="1" operator="greaterThan">
      <formula>$M$44</formula>
    </cfRule>
  </conditionalFormatting>
  <conditionalFormatting sqref="O3:O34">
    <cfRule type="cellIs" dxfId="1051" priority="44" stopIfTrue="1" operator="lessThan">
      <formula>0</formula>
    </cfRule>
  </conditionalFormatting>
  <conditionalFormatting sqref="O3:O33">
    <cfRule type="cellIs" dxfId="1050" priority="43" stopIfTrue="1" operator="lessThan">
      <formula>0</formula>
    </cfRule>
  </conditionalFormatting>
  <conditionalFormatting sqref="O3">
    <cfRule type="cellIs" dxfId="1049" priority="42" stopIfTrue="1" operator="notEqual">
      <formula>$P$3</formula>
    </cfRule>
  </conditionalFormatting>
  <conditionalFormatting sqref="O4">
    <cfRule type="cellIs" dxfId="1048" priority="41" stopIfTrue="1" operator="notEqual">
      <formula>P$4</formula>
    </cfRule>
  </conditionalFormatting>
  <conditionalFormatting sqref="O5">
    <cfRule type="cellIs" dxfId="1047" priority="40" stopIfTrue="1" operator="notEqual">
      <formula>$P$5</formula>
    </cfRule>
  </conditionalFormatting>
  <conditionalFormatting sqref="O6">
    <cfRule type="cellIs" dxfId="1046" priority="39" stopIfTrue="1" operator="notEqual">
      <formula>$P$6</formula>
    </cfRule>
  </conditionalFormatting>
  <conditionalFormatting sqref="O7">
    <cfRule type="cellIs" dxfId="1045" priority="38" stopIfTrue="1" operator="notEqual">
      <formula>$P$7</formula>
    </cfRule>
  </conditionalFormatting>
  <conditionalFormatting sqref="O8">
    <cfRule type="cellIs" dxfId="1044" priority="37" stopIfTrue="1" operator="notEqual">
      <formula>$P$8</formula>
    </cfRule>
  </conditionalFormatting>
  <conditionalFormatting sqref="O9">
    <cfRule type="cellIs" dxfId="1043" priority="36" stopIfTrue="1" operator="notEqual">
      <formula>$P$9</formula>
    </cfRule>
  </conditionalFormatting>
  <conditionalFormatting sqref="O10">
    <cfRule type="cellIs" dxfId="1042" priority="34" stopIfTrue="1" operator="notEqual">
      <formula>$P$10</formula>
    </cfRule>
    <cfRule type="cellIs" dxfId="1041" priority="35" stopIfTrue="1" operator="greaterThan">
      <formula>$P$10</formula>
    </cfRule>
  </conditionalFormatting>
  <conditionalFormatting sqref="O11">
    <cfRule type="cellIs" dxfId="1040" priority="32" stopIfTrue="1" operator="notEqual">
      <formula>$P$11</formula>
    </cfRule>
    <cfRule type="cellIs" dxfId="1039" priority="33" stopIfTrue="1" operator="greaterThan">
      <formula>$P$11</formula>
    </cfRule>
  </conditionalFormatting>
  <conditionalFormatting sqref="O12">
    <cfRule type="cellIs" dxfId="1038" priority="31" stopIfTrue="1" operator="notEqual">
      <formula>$P$12</formula>
    </cfRule>
  </conditionalFormatting>
  <conditionalFormatting sqref="O14">
    <cfRule type="cellIs" dxfId="1037" priority="30" stopIfTrue="1" operator="notEqual">
      <formula>$P$14</formula>
    </cfRule>
  </conditionalFormatting>
  <conditionalFormatting sqref="O15">
    <cfRule type="cellIs" dxfId="1036" priority="29" stopIfTrue="1" operator="notEqual">
      <formula>$P$15</formula>
    </cfRule>
  </conditionalFormatting>
  <conditionalFormatting sqref="O16">
    <cfRule type="cellIs" dxfId="1035" priority="28" stopIfTrue="1" operator="notEqual">
      <formula>$P$16</formula>
    </cfRule>
  </conditionalFormatting>
  <conditionalFormatting sqref="O17">
    <cfRule type="cellIs" dxfId="1034" priority="27" stopIfTrue="1" operator="notEqual">
      <formula>$P$17</formula>
    </cfRule>
  </conditionalFormatting>
  <conditionalFormatting sqref="O18">
    <cfRule type="cellIs" dxfId="1033" priority="26" stopIfTrue="1" operator="notEqual">
      <formula>$P$18</formula>
    </cfRule>
  </conditionalFormatting>
  <conditionalFormatting sqref="O19">
    <cfRule type="cellIs" dxfId="1032" priority="24" stopIfTrue="1" operator="notEqual">
      <formula>$P$19</formula>
    </cfRule>
    <cfRule type="cellIs" dxfId="1031" priority="25" stopIfTrue="1" operator="greaterThan">
      <formula>$P$19</formula>
    </cfRule>
  </conditionalFormatting>
  <conditionalFormatting sqref="O20">
    <cfRule type="cellIs" dxfId="1030" priority="22" stopIfTrue="1" operator="notEqual">
      <formula>$P$20</formula>
    </cfRule>
    <cfRule type="cellIs" dxfId="1029" priority="23" stopIfTrue="1" operator="greaterThan">
      <formula>$P$20</formula>
    </cfRule>
  </conditionalFormatting>
  <conditionalFormatting sqref="O21">
    <cfRule type="cellIs" dxfId="1028" priority="21" stopIfTrue="1" operator="notEqual">
      <formula>$P$21</formula>
    </cfRule>
  </conditionalFormatting>
  <conditionalFormatting sqref="O22">
    <cfRule type="cellIs" dxfId="1027" priority="20" stopIfTrue="1" operator="notEqual">
      <formula>$P$22</formula>
    </cfRule>
  </conditionalFormatting>
  <conditionalFormatting sqref="O23">
    <cfRule type="cellIs" dxfId="1026" priority="19" stopIfTrue="1" operator="notEqual">
      <formula>$P$23</formula>
    </cfRule>
  </conditionalFormatting>
  <conditionalFormatting sqref="O24">
    <cfRule type="cellIs" dxfId="1025" priority="17" stopIfTrue="1" operator="notEqual">
      <formula>$P$24</formula>
    </cfRule>
    <cfRule type="cellIs" dxfId="1024" priority="18" stopIfTrue="1" operator="greaterThan">
      <formula>$P$24</formula>
    </cfRule>
  </conditionalFormatting>
  <conditionalFormatting sqref="O25">
    <cfRule type="cellIs" dxfId="1023" priority="15" stopIfTrue="1" operator="notEqual">
      <formula>$P$25</formula>
    </cfRule>
    <cfRule type="cellIs" dxfId="1022" priority="16" stopIfTrue="1" operator="greaterThan">
      <formula>$P$25</formula>
    </cfRule>
  </conditionalFormatting>
  <conditionalFormatting sqref="O26">
    <cfRule type="cellIs" dxfId="1021" priority="14" stopIfTrue="1" operator="notEqual">
      <formula>$P$26</formula>
    </cfRule>
  </conditionalFormatting>
  <conditionalFormatting sqref="O27">
    <cfRule type="cellIs" dxfId="1020" priority="13" stopIfTrue="1" operator="notEqual">
      <formula>$P$27</formula>
    </cfRule>
  </conditionalFormatting>
  <conditionalFormatting sqref="O28">
    <cfRule type="cellIs" dxfId="1019" priority="12" stopIfTrue="1" operator="notEqual">
      <formula>$P$28</formula>
    </cfRule>
  </conditionalFormatting>
  <conditionalFormatting sqref="O29">
    <cfRule type="cellIs" dxfId="1018" priority="11" stopIfTrue="1" operator="notEqual">
      <formula>$P$29</formula>
    </cfRule>
  </conditionalFormatting>
  <conditionalFormatting sqref="O30">
    <cfRule type="cellIs" dxfId="1017" priority="10" stopIfTrue="1" operator="notEqual">
      <formula>$P$30</formula>
    </cfRule>
  </conditionalFormatting>
  <conditionalFormatting sqref="O31">
    <cfRule type="cellIs" dxfId="1016" priority="8" stopIfTrue="1" operator="notEqual">
      <formula>$P$31</formula>
    </cfRule>
    <cfRule type="cellIs" dxfId="1015" priority="9" stopIfTrue="1" operator="greaterThan">
      <formula>$P$31</formula>
    </cfRule>
  </conditionalFormatting>
  <conditionalFormatting sqref="O32">
    <cfRule type="cellIs" dxfId="1014" priority="6" stopIfTrue="1" operator="notEqual">
      <formula>$P$32</formula>
    </cfRule>
    <cfRule type="cellIs" dxfId="1013" priority="7" stopIfTrue="1" operator="greaterThan">
      <formula>$P$32</formula>
    </cfRule>
  </conditionalFormatting>
  <conditionalFormatting sqref="O33">
    <cfRule type="cellIs" dxfId="1012" priority="5" stopIfTrue="1" operator="notEqual">
      <formula>$P$33</formula>
    </cfRule>
  </conditionalFormatting>
  <conditionalFormatting sqref="O13">
    <cfRule type="cellIs" dxfId="1011" priority="4" stopIfTrue="1" operator="notEqual">
      <formula>$P$13</formula>
    </cfRule>
  </conditionalFormatting>
  <conditionalFormatting sqref="AG3:AG34">
    <cfRule type="cellIs" dxfId="1010" priority="3" stopIfTrue="1" operator="notEqual">
      <formula>E3</formula>
    </cfRule>
  </conditionalFormatting>
  <conditionalFormatting sqref="AH3:AH34">
    <cfRule type="cellIs" dxfId="1009" priority="2" stopIfTrue="1" operator="notBetween">
      <formula>AI3+$AG$40</formula>
      <formula>AI3-$AG$40</formula>
    </cfRule>
  </conditionalFormatting>
  <conditionalFormatting sqref="AL3:AL33">
    <cfRule type="cellIs" dxfId="100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285</v>
      </c>
      <c r="B3" s="487">
        <v>0.375</v>
      </c>
      <c r="C3" s="488">
        <v>2013</v>
      </c>
      <c r="D3" s="488">
        <v>3</v>
      </c>
      <c r="E3" s="488">
        <v>1</v>
      </c>
      <c r="F3" s="489">
        <v>665755</v>
      </c>
      <c r="G3" s="488">
        <v>0</v>
      </c>
      <c r="H3" s="489">
        <v>610261</v>
      </c>
      <c r="I3" s="488">
        <v>0</v>
      </c>
      <c r="J3" s="488">
        <v>0</v>
      </c>
      <c r="K3" s="488">
        <v>0</v>
      </c>
      <c r="L3" s="490">
        <v>86.3185</v>
      </c>
      <c r="M3" s="489">
        <v>18.7</v>
      </c>
      <c r="N3" s="491">
        <v>0</v>
      </c>
      <c r="O3" s="492">
        <v>2832</v>
      </c>
      <c r="P3" s="493">
        <f>F4-F3</f>
        <v>2832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2832</v>
      </c>
      <c r="W3" s="498">
        <f>V3*35.31467</f>
        <v>100011.14543999999</v>
      </c>
      <c r="X3" s="497"/>
      <c r="Y3" s="499">
        <f>V3*R3/1000000</f>
        <v>24.425204806928502</v>
      </c>
      <c r="Z3" s="500">
        <f>S3*V3/1000000</f>
        <v>102.26344748564823</v>
      </c>
      <c r="AA3" s="501">
        <f>W3*T3/1000000</f>
        <v>96.926771490730943</v>
      </c>
      <c r="AE3" s="598" t="str">
        <f>RIGHT(F3,6)</f>
        <v>665755</v>
      </c>
      <c r="AF3" s="486"/>
      <c r="AG3" s="491"/>
      <c r="AH3" s="599"/>
      <c r="AI3" s="600">
        <f>IFERROR(AE3*1,0)</f>
        <v>665755</v>
      </c>
      <c r="AJ3" s="601">
        <f>(AI3-AH3)</f>
        <v>665755</v>
      </c>
      <c r="AL3" s="602">
        <f>AH4-AH3</f>
        <v>0</v>
      </c>
      <c r="AM3" s="603">
        <f>AI4-AI3</f>
        <v>2832</v>
      </c>
      <c r="AN3" s="604">
        <f>(AM3-AL3)</f>
        <v>2832</v>
      </c>
      <c r="AO3" s="605">
        <f>IFERROR(AN3/AM3,"")</f>
        <v>1</v>
      </c>
    </row>
    <row r="4" spans="1:41" x14ac:dyDescent="0.2">
      <c r="A4" s="502">
        <v>285</v>
      </c>
      <c r="B4" s="503">
        <v>0.375</v>
      </c>
      <c r="C4" s="504">
        <v>2013</v>
      </c>
      <c r="D4" s="504">
        <v>3</v>
      </c>
      <c r="E4" s="504">
        <v>2</v>
      </c>
      <c r="F4" s="505">
        <v>668587</v>
      </c>
      <c r="G4" s="504">
        <v>0</v>
      </c>
      <c r="H4" s="505">
        <v>610667</v>
      </c>
      <c r="I4" s="504">
        <v>0</v>
      </c>
      <c r="J4" s="504">
        <v>0</v>
      </c>
      <c r="K4" s="504">
        <v>0</v>
      </c>
      <c r="L4" s="506">
        <v>86.758600000000001</v>
      </c>
      <c r="M4" s="505">
        <v>16.2</v>
      </c>
      <c r="N4" s="507">
        <v>0</v>
      </c>
      <c r="O4" s="508">
        <v>214</v>
      </c>
      <c r="P4" s="493">
        <f t="shared" ref="P4:P33" si="0">F5-F4</f>
        <v>214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214</v>
      </c>
      <c r="W4" s="512">
        <f>V4*35.31467</f>
        <v>7557.3393800000003</v>
      </c>
      <c r="X4" s="497"/>
      <c r="Y4" s="513">
        <f>V4*R4/1000000</f>
        <v>1.844073079568324</v>
      </c>
      <c r="Z4" s="510">
        <f>S4*V4/1000000</f>
        <v>7.7207651695366586</v>
      </c>
      <c r="AA4" s="511">
        <f>W4*T4/1000000</f>
        <v>7.3178526611504902</v>
      </c>
      <c r="AE4" s="598" t="str">
        <f t="shared" ref="AE4:AE34" si="3">RIGHT(F4,6)</f>
        <v>668587</v>
      </c>
      <c r="AF4" s="502"/>
      <c r="AG4" s="606"/>
      <c r="AH4" s="607"/>
      <c r="AI4" s="608">
        <f t="shared" ref="AI4:AI34" si="4">IFERROR(AE4*1,0)</f>
        <v>668587</v>
      </c>
      <c r="AJ4" s="609">
        <f t="shared" ref="AJ4:AJ34" si="5">(AI4-AH4)</f>
        <v>668587</v>
      </c>
      <c r="AL4" s="602">
        <f t="shared" ref="AL4:AM33" si="6">AH5-AH4</f>
        <v>0</v>
      </c>
      <c r="AM4" s="610">
        <f t="shared" si="6"/>
        <v>214</v>
      </c>
      <c r="AN4" s="611">
        <f t="shared" ref="AN4:AN33" si="7">(AM4-AL4)</f>
        <v>214</v>
      </c>
      <c r="AO4" s="612">
        <f t="shared" ref="AO4:AO33" si="8">IFERROR(AN4/AM4,"")</f>
        <v>1</v>
      </c>
    </row>
    <row r="5" spans="1:41" x14ac:dyDescent="0.2">
      <c r="A5" s="502">
        <v>285</v>
      </c>
      <c r="B5" s="503">
        <v>0.375</v>
      </c>
      <c r="C5" s="504">
        <v>2013</v>
      </c>
      <c r="D5" s="504">
        <v>3</v>
      </c>
      <c r="E5" s="504">
        <v>3</v>
      </c>
      <c r="F5" s="505">
        <v>668801</v>
      </c>
      <c r="G5" s="504">
        <v>0</v>
      </c>
      <c r="H5" s="505">
        <v>610697</v>
      </c>
      <c r="I5" s="504">
        <v>0</v>
      </c>
      <c r="J5" s="504">
        <v>0</v>
      </c>
      <c r="K5" s="504">
        <v>0</v>
      </c>
      <c r="L5" s="506">
        <v>88.522599999999997</v>
      </c>
      <c r="M5" s="505">
        <v>6.4</v>
      </c>
      <c r="N5" s="507">
        <v>0</v>
      </c>
      <c r="O5" s="508">
        <v>844</v>
      </c>
      <c r="P5" s="493">
        <f t="shared" si="0"/>
        <v>844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844</v>
      </c>
      <c r="W5" s="512">
        <f t="shared" ref="W5:W33" si="10">V5*35.31467</f>
        <v>29805.581480000001</v>
      </c>
      <c r="X5" s="497"/>
      <c r="Y5" s="513">
        <f t="shared" ref="Y5:Y33" si="11">V5*R5/1000000</f>
        <v>7.2923097074392835</v>
      </c>
      <c r="Z5" s="510">
        <f t="shared" ref="Z5:Z33" si="12">S5*V5/1000000</f>
        <v>30.531442283106792</v>
      </c>
      <c r="AA5" s="511">
        <f t="shared" ref="AA5:AA33" si="13">W5*T5/1000000</f>
        <v>28.938141654890387</v>
      </c>
      <c r="AE5" s="598" t="str">
        <f t="shared" si="3"/>
        <v>668801</v>
      </c>
      <c r="AF5" s="502"/>
      <c r="AG5" s="606"/>
      <c r="AH5" s="607"/>
      <c r="AI5" s="608">
        <f t="shared" si="4"/>
        <v>668801</v>
      </c>
      <c r="AJ5" s="609">
        <f t="shared" si="5"/>
        <v>668801</v>
      </c>
      <c r="AL5" s="602">
        <f t="shared" si="6"/>
        <v>0</v>
      </c>
      <c r="AM5" s="610">
        <f t="shared" si="6"/>
        <v>844</v>
      </c>
      <c r="AN5" s="611">
        <f t="shared" si="7"/>
        <v>844</v>
      </c>
      <c r="AO5" s="612">
        <f t="shared" si="8"/>
        <v>1</v>
      </c>
    </row>
    <row r="6" spans="1:41" x14ac:dyDescent="0.2">
      <c r="A6" s="502">
        <v>285</v>
      </c>
      <c r="B6" s="503">
        <v>0.375</v>
      </c>
      <c r="C6" s="504">
        <v>2013</v>
      </c>
      <c r="D6" s="504">
        <v>3</v>
      </c>
      <c r="E6" s="504">
        <v>4</v>
      </c>
      <c r="F6" s="505">
        <v>669645</v>
      </c>
      <c r="G6" s="504">
        <v>0</v>
      </c>
      <c r="H6" s="505">
        <v>610816</v>
      </c>
      <c r="I6" s="504">
        <v>0</v>
      </c>
      <c r="J6" s="504">
        <v>0</v>
      </c>
      <c r="K6" s="504">
        <v>0</v>
      </c>
      <c r="L6" s="506">
        <v>87.939499999999995</v>
      </c>
      <c r="M6" s="505">
        <v>15.5</v>
      </c>
      <c r="N6" s="507">
        <v>0</v>
      </c>
      <c r="O6" s="508">
        <v>3085</v>
      </c>
      <c r="P6" s="493">
        <f t="shared" si="0"/>
        <v>3085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3085</v>
      </c>
      <c r="W6" s="512">
        <f t="shared" si="10"/>
        <v>108945.75695</v>
      </c>
      <c r="X6" s="497"/>
      <c r="Y6" s="513">
        <f t="shared" si="11"/>
        <v>26.750145633858622</v>
      </c>
      <c r="Z6" s="510">
        <f t="shared" si="12"/>
        <v>111.99750973983927</v>
      </c>
      <c r="AA6" s="511">
        <f t="shared" si="13"/>
        <v>106.15285618654501</v>
      </c>
      <c r="AE6" s="598" t="str">
        <f t="shared" si="3"/>
        <v>669645</v>
      </c>
      <c r="AF6" s="502"/>
      <c r="AG6" s="606"/>
      <c r="AH6" s="607"/>
      <c r="AI6" s="608">
        <f t="shared" si="4"/>
        <v>669645</v>
      </c>
      <c r="AJ6" s="609">
        <f t="shared" si="5"/>
        <v>669645</v>
      </c>
      <c r="AL6" s="602">
        <f t="shared" si="6"/>
        <v>0</v>
      </c>
      <c r="AM6" s="610">
        <f t="shared" si="6"/>
        <v>3085</v>
      </c>
      <c r="AN6" s="611">
        <f t="shared" si="7"/>
        <v>3085</v>
      </c>
      <c r="AO6" s="612">
        <f t="shared" si="8"/>
        <v>1</v>
      </c>
    </row>
    <row r="7" spans="1:41" x14ac:dyDescent="0.2">
      <c r="A7" s="502">
        <v>285</v>
      </c>
      <c r="B7" s="503">
        <v>0.375</v>
      </c>
      <c r="C7" s="504">
        <v>2013</v>
      </c>
      <c r="D7" s="504">
        <v>3</v>
      </c>
      <c r="E7" s="504">
        <v>5</v>
      </c>
      <c r="F7" s="505">
        <v>672730</v>
      </c>
      <c r="G7" s="504">
        <v>0</v>
      </c>
      <c r="H7" s="505">
        <v>611263</v>
      </c>
      <c r="I7" s="504">
        <v>0</v>
      </c>
      <c r="J7" s="504">
        <v>0</v>
      </c>
      <c r="K7" s="504">
        <v>0</v>
      </c>
      <c r="L7" s="506">
        <v>86.012100000000004</v>
      </c>
      <c r="M7" s="505">
        <v>17.3</v>
      </c>
      <c r="N7" s="507">
        <v>0</v>
      </c>
      <c r="O7" s="508">
        <v>2920</v>
      </c>
      <c r="P7" s="493">
        <f t="shared" si="0"/>
        <v>2920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2920</v>
      </c>
      <c r="W7" s="512">
        <f t="shared" si="10"/>
        <v>103118.8364</v>
      </c>
      <c r="X7" s="497"/>
      <c r="Y7" s="513">
        <f t="shared" si="11"/>
        <v>25.298303486589244</v>
      </c>
      <c r="Z7" s="510">
        <f t="shared" si="12"/>
        <v>105.91893703765183</v>
      </c>
      <c r="AA7" s="511">
        <f t="shared" si="13"/>
        <v>100.39149724763968</v>
      </c>
      <c r="AE7" s="598" t="str">
        <f t="shared" si="3"/>
        <v>672730</v>
      </c>
      <c r="AF7" s="502"/>
      <c r="AG7" s="606"/>
      <c r="AH7" s="607"/>
      <c r="AI7" s="608">
        <f t="shared" si="4"/>
        <v>672730</v>
      </c>
      <c r="AJ7" s="609">
        <f t="shared" si="5"/>
        <v>672730</v>
      </c>
      <c r="AL7" s="602">
        <f t="shared" si="6"/>
        <v>0</v>
      </c>
      <c r="AM7" s="610">
        <f t="shared" si="6"/>
        <v>2920</v>
      </c>
      <c r="AN7" s="611">
        <f t="shared" si="7"/>
        <v>2920</v>
      </c>
      <c r="AO7" s="612">
        <f t="shared" si="8"/>
        <v>1</v>
      </c>
    </row>
    <row r="8" spans="1:41" x14ac:dyDescent="0.2">
      <c r="A8" s="502">
        <v>285</v>
      </c>
      <c r="B8" s="503">
        <v>0.375</v>
      </c>
      <c r="C8" s="504">
        <v>2013</v>
      </c>
      <c r="D8" s="504">
        <v>3</v>
      </c>
      <c r="E8" s="504">
        <v>6</v>
      </c>
      <c r="F8" s="505">
        <v>675650</v>
      </c>
      <c r="G8" s="504">
        <v>0</v>
      </c>
      <c r="H8" s="505">
        <v>611684</v>
      </c>
      <c r="I8" s="504">
        <v>0</v>
      </c>
      <c r="J8" s="504">
        <v>0</v>
      </c>
      <c r="K8" s="504">
        <v>0</v>
      </c>
      <c r="L8" s="506">
        <v>86.257099999999994</v>
      </c>
      <c r="M8" s="505">
        <v>17.2</v>
      </c>
      <c r="N8" s="507">
        <v>0</v>
      </c>
      <c r="O8" s="508">
        <v>2988</v>
      </c>
      <c r="P8" s="493">
        <f t="shared" si="0"/>
        <v>2988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2988</v>
      </c>
      <c r="W8" s="512">
        <f t="shared" si="10"/>
        <v>105520.23396</v>
      </c>
      <c r="X8" s="497"/>
      <c r="Y8" s="513">
        <f t="shared" si="11"/>
        <v>25.92762456755927</v>
      </c>
      <c r="Z8" s="510">
        <f t="shared" si="12"/>
        <v>108.55377853945714</v>
      </c>
      <c r="AA8" s="511">
        <f t="shared" si="13"/>
        <v>102.88883805160209</v>
      </c>
      <c r="AE8" s="598" t="str">
        <f t="shared" si="3"/>
        <v>675650</v>
      </c>
      <c r="AF8" s="502"/>
      <c r="AG8" s="606"/>
      <c r="AH8" s="607"/>
      <c r="AI8" s="608">
        <f t="shared" si="4"/>
        <v>675650</v>
      </c>
      <c r="AJ8" s="609">
        <f t="shared" si="5"/>
        <v>675650</v>
      </c>
      <c r="AL8" s="602">
        <f t="shared" si="6"/>
        <v>0</v>
      </c>
      <c r="AM8" s="610">
        <f t="shared" si="6"/>
        <v>2988</v>
      </c>
      <c r="AN8" s="611">
        <f t="shared" si="7"/>
        <v>2988</v>
      </c>
      <c r="AO8" s="612">
        <f t="shared" si="8"/>
        <v>1</v>
      </c>
    </row>
    <row r="9" spans="1:41" x14ac:dyDescent="0.2">
      <c r="A9" s="502">
        <v>285</v>
      </c>
      <c r="B9" s="503">
        <v>0.375</v>
      </c>
      <c r="C9" s="504">
        <v>2013</v>
      </c>
      <c r="D9" s="504">
        <v>3</v>
      </c>
      <c r="E9" s="504">
        <v>7</v>
      </c>
      <c r="F9" s="505">
        <v>678638</v>
      </c>
      <c r="G9" s="504">
        <v>0</v>
      </c>
      <c r="H9" s="505">
        <v>612116</v>
      </c>
      <c r="I9" s="504">
        <v>0</v>
      </c>
      <c r="J9" s="504">
        <v>0</v>
      </c>
      <c r="K9" s="504">
        <v>0</v>
      </c>
      <c r="L9" s="506">
        <v>86.204899999999995</v>
      </c>
      <c r="M9" s="505">
        <v>17.3</v>
      </c>
      <c r="N9" s="507">
        <v>0</v>
      </c>
      <c r="O9" s="508">
        <v>2677</v>
      </c>
      <c r="P9" s="493">
        <f t="shared" si="0"/>
        <v>2677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2677</v>
      </c>
      <c r="W9" s="512">
        <f t="shared" si="10"/>
        <v>94537.371589999995</v>
      </c>
      <c r="X9" s="497"/>
      <c r="Y9" s="513">
        <f t="shared" si="11"/>
        <v>23.247665905961561</v>
      </c>
      <c r="Z9" s="510">
        <f t="shared" si="12"/>
        <v>97.333327615079853</v>
      </c>
      <c r="AA9" s="511">
        <f t="shared" si="13"/>
        <v>92.253932721203299</v>
      </c>
      <c r="AE9" s="598" t="str">
        <f t="shared" si="3"/>
        <v>678638</v>
      </c>
      <c r="AF9" s="502"/>
      <c r="AG9" s="606"/>
      <c r="AH9" s="607"/>
      <c r="AI9" s="608">
        <f t="shared" si="4"/>
        <v>678638</v>
      </c>
      <c r="AJ9" s="609">
        <f t="shared" si="5"/>
        <v>678638</v>
      </c>
      <c r="AL9" s="602">
        <f t="shared" si="6"/>
        <v>0</v>
      </c>
      <c r="AM9" s="610">
        <f t="shared" si="6"/>
        <v>2677</v>
      </c>
      <c r="AN9" s="611">
        <f t="shared" si="7"/>
        <v>2677</v>
      </c>
      <c r="AO9" s="612">
        <f t="shared" si="8"/>
        <v>1</v>
      </c>
    </row>
    <row r="10" spans="1:41" x14ac:dyDescent="0.2">
      <c r="A10" s="502">
        <v>285</v>
      </c>
      <c r="B10" s="503">
        <v>0.375</v>
      </c>
      <c r="C10" s="504">
        <v>2013</v>
      </c>
      <c r="D10" s="504">
        <v>3</v>
      </c>
      <c r="E10" s="504">
        <v>8</v>
      </c>
      <c r="F10" s="505">
        <v>681315</v>
      </c>
      <c r="G10" s="504">
        <v>0</v>
      </c>
      <c r="H10" s="505">
        <v>612503</v>
      </c>
      <c r="I10" s="504">
        <v>0</v>
      </c>
      <c r="J10" s="504">
        <v>0</v>
      </c>
      <c r="K10" s="504">
        <v>0</v>
      </c>
      <c r="L10" s="506">
        <v>86.447199999999995</v>
      </c>
      <c r="M10" s="505">
        <v>18.5</v>
      </c>
      <c r="N10" s="507">
        <v>0</v>
      </c>
      <c r="O10" s="508">
        <v>2742</v>
      </c>
      <c r="P10" s="493">
        <f t="shared" si="0"/>
        <v>2742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2742</v>
      </c>
      <c r="W10" s="512">
        <f t="shared" si="10"/>
        <v>96832.825140000001</v>
      </c>
      <c r="X10" s="497"/>
      <c r="Y10" s="513">
        <f t="shared" si="11"/>
        <v>23.801677745031913</v>
      </c>
      <c r="Z10" s="510">
        <f t="shared" si="12"/>
        <v>99.652864382899608</v>
      </c>
      <c r="AA10" s="511">
        <f t="shared" si="13"/>
        <v>94.452423147514864</v>
      </c>
      <c r="AE10" s="598" t="str">
        <f t="shared" si="3"/>
        <v>681315</v>
      </c>
      <c r="AF10" s="502"/>
      <c r="AG10" s="606"/>
      <c r="AH10" s="607"/>
      <c r="AI10" s="608">
        <f t="shared" si="4"/>
        <v>681315</v>
      </c>
      <c r="AJ10" s="609">
        <f t="shared" si="5"/>
        <v>681315</v>
      </c>
      <c r="AL10" s="602">
        <f t="shared" si="6"/>
        <v>0</v>
      </c>
      <c r="AM10" s="610">
        <f t="shared" si="6"/>
        <v>2742</v>
      </c>
      <c r="AN10" s="611">
        <f t="shared" si="7"/>
        <v>2742</v>
      </c>
      <c r="AO10" s="612">
        <f t="shared" si="8"/>
        <v>1</v>
      </c>
    </row>
    <row r="11" spans="1:41" x14ac:dyDescent="0.2">
      <c r="A11" s="502">
        <v>285</v>
      </c>
      <c r="B11" s="503">
        <v>0.375</v>
      </c>
      <c r="C11" s="504">
        <v>2013</v>
      </c>
      <c r="D11" s="504">
        <v>3</v>
      </c>
      <c r="E11" s="504">
        <v>9</v>
      </c>
      <c r="F11" s="505">
        <v>684057</v>
      </c>
      <c r="G11" s="504">
        <v>0</v>
      </c>
      <c r="H11" s="505">
        <v>612899</v>
      </c>
      <c r="I11" s="504">
        <v>0</v>
      </c>
      <c r="J11" s="504">
        <v>0</v>
      </c>
      <c r="K11" s="504">
        <v>0</v>
      </c>
      <c r="L11" s="506">
        <v>86.661000000000001</v>
      </c>
      <c r="M11" s="505">
        <v>18.7</v>
      </c>
      <c r="N11" s="507">
        <v>0</v>
      </c>
      <c r="O11" s="508">
        <v>232</v>
      </c>
      <c r="P11" s="493">
        <f t="shared" si="0"/>
        <v>232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232</v>
      </c>
      <c r="W11" s="515">
        <f t="shared" si="10"/>
        <v>8193.0034400000004</v>
      </c>
      <c r="Y11" s="513">
        <f t="shared" si="11"/>
        <v>2.0152906868298088</v>
      </c>
      <c r="Z11" s="510">
        <f t="shared" si="12"/>
        <v>8.4376190476190427</v>
      </c>
      <c r="AA11" s="511">
        <f t="shared" si="13"/>
        <v>7.9972971131174235</v>
      </c>
      <c r="AE11" s="598" t="str">
        <f t="shared" si="3"/>
        <v>684057</v>
      </c>
      <c r="AF11" s="502"/>
      <c r="AG11" s="606"/>
      <c r="AH11" s="607"/>
      <c r="AI11" s="608">
        <f t="shared" si="4"/>
        <v>684057</v>
      </c>
      <c r="AJ11" s="609">
        <f t="shared" si="5"/>
        <v>684057</v>
      </c>
      <c r="AL11" s="602">
        <f t="shared" si="6"/>
        <v>0</v>
      </c>
      <c r="AM11" s="610">
        <f t="shared" si="6"/>
        <v>232</v>
      </c>
      <c r="AN11" s="611">
        <f t="shared" si="7"/>
        <v>232</v>
      </c>
      <c r="AO11" s="612">
        <f t="shared" si="8"/>
        <v>1</v>
      </c>
    </row>
    <row r="12" spans="1:41" x14ac:dyDescent="0.2">
      <c r="A12" s="502">
        <v>285</v>
      </c>
      <c r="B12" s="503">
        <v>0.375</v>
      </c>
      <c r="C12" s="504">
        <v>2013</v>
      </c>
      <c r="D12" s="504">
        <v>3</v>
      </c>
      <c r="E12" s="504">
        <v>10</v>
      </c>
      <c r="F12" s="505">
        <v>684289</v>
      </c>
      <c r="G12" s="504">
        <v>0</v>
      </c>
      <c r="H12" s="505">
        <v>612933</v>
      </c>
      <c r="I12" s="504">
        <v>0</v>
      </c>
      <c r="J12" s="504">
        <v>0</v>
      </c>
      <c r="K12" s="504">
        <v>0</v>
      </c>
      <c r="L12" s="506">
        <v>88.207899999999995</v>
      </c>
      <c r="M12" s="505">
        <v>20.2</v>
      </c>
      <c r="N12" s="507">
        <v>0</v>
      </c>
      <c r="O12" s="508">
        <v>2556</v>
      </c>
      <c r="P12" s="493">
        <f t="shared" si="0"/>
        <v>2556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2556</v>
      </c>
      <c r="W12" s="515">
        <f t="shared" si="10"/>
        <v>90264.296520000004</v>
      </c>
      <c r="Y12" s="513">
        <f t="shared" si="11"/>
        <v>22.234374695205403</v>
      </c>
      <c r="Z12" s="510">
        <f t="shared" si="12"/>
        <v>93.09087997388599</v>
      </c>
      <c r="AA12" s="511">
        <f t="shared" si="13"/>
        <v>88.232879615819783</v>
      </c>
      <c r="AE12" s="598" t="str">
        <f t="shared" si="3"/>
        <v>684289</v>
      </c>
      <c r="AF12" s="502"/>
      <c r="AG12" s="606"/>
      <c r="AH12" s="607"/>
      <c r="AI12" s="608">
        <f t="shared" si="4"/>
        <v>684289</v>
      </c>
      <c r="AJ12" s="609">
        <f t="shared" si="5"/>
        <v>684289</v>
      </c>
      <c r="AL12" s="602">
        <f t="shared" si="6"/>
        <v>0</v>
      </c>
      <c r="AM12" s="610">
        <f t="shared" si="6"/>
        <v>2556</v>
      </c>
      <c r="AN12" s="611">
        <f t="shared" si="7"/>
        <v>2556</v>
      </c>
      <c r="AO12" s="612">
        <f t="shared" si="8"/>
        <v>1</v>
      </c>
    </row>
    <row r="13" spans="1:41" x14ac:dyDescent="0.2">
      <c r="A13" s="502">
        <v>285</v>
      </c>
      <c r="B13" s="503">
        <v>0.375</v>
      </c>
      <c r="C13" s="504">
        <v>2013</v>
      </c>
      <c r="D13" s="504">
        <v>3</v>
      </c>
      <c r="E13" s="504">
        <v>11</v>
      </c>
      <c r="F13" s="505">
        <v>686845</v>
      </c>
      <c r="G13" s="504">
        <v>0</v>
      </c>
      <c r="H13" s="505">
        <v>613302</v>
      </c>
      <c r="I13" s="504">
        <v>0</v>
      </c>
      <c r="J13" s="504">
        <v>0</v>
      </c>
      <c r="K13" s="504">
        <v>0</v>
      </c>
      <c r="L13" s="506">
        <v>87.090999999999994</v>
      </c>
      <c r="M13" s="505">
        <v>20.100000000000001</v>
      </c>
      <c r="N13" s="507">
        <v>0</v>
      </c>
      <c r="O13" s="508">
        <v>2856</v>
      </c>
      <c r="P13" s="493">
        <f t="shared" si="0"/>
        <v>2856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2856</v>
      </c>
      <c r="W13" s="515">
        <f t="shared" si="10"/>
        <v>100858.69752</v>
      </c>
      <c r="Y13" s="513">
        <f t="shared" si="11"/>
        <v>24.801016777303591</v>
      </c>
      <c r="Z13" s="510">
        <f t="shared" si="12"/>
        <v>103.83689704321468</v>
      </c>
      <c r="AA13" s="511">
        <f t="shared" si="13"/>
        <v>98.418109690920588</v>
      </c>
      <c r="AE13" s="598" t="str">
        <f t="shared" si="3"/>
        <v>686845</v>
      </c>
      <c r="AF13" s="502"/>
      <c r="AG13" s="606"/>
      <c r="AH13" s="607"/>
      <c r="AI13" s="608">
        <f t="shared" si="4"/>
        <v>686845</v>
      </c>
      <c r="AJ13" s="609">
        <f t="shared" si="5"/>
        <v>686845</v>
      </c>
      <c r="AL13" s="602">
        <f t="shared" si="6"/>
        <v>0</v>
      </c>
      <c r="AM13" s="610">
        <f t="shared" si="6"/>
        <v>2856</v>
      </c>
      <c r="AN13" s="611">
        <f t="shared" si="7"/>
        <v>2856</v>
      </c>
      <c r="AO13" s="612">
        <f t="shared" si="8"/>
        <v>1</v>
      </c>
    </row>
    <row r="14" spans="1:41" x14ac:dyDescent="0.2">
      <c r="A14" s="502">
        <v>285</v>
      </c>
      <c r="B14" s="503">
        <v>0.375</v>
      </c>
      <c r="C14" s="504">
        <v>2013</v>
      </c>
      <c r="D14" s="504">
        <v>3</v>
      </c>
      <c r="E14" s="504">
        <v>12</v>
      </c>
      <c r="F14" s="505">
        <v>689701</v>
      </c>
      <c r="G14" s="504">
        <v>0</v>
      </c>
      <c r="H14" s="505">
        <v>613716</v>
      </c>
      <c r="I14" s="504">
        <v>0</v>
      </c>
      <c r="J14" s="504">
        <v>0</v>
      </c>
      <c r="K14" s="504">
        <v>0</v>
      </c>
      <c r="L14" s="506">
        <v>86.340400000000002</v>
      </c>
      <c r="M14" s="505">
        <v>18.7</v>
      </c>
      <c r="N14" s="507">
        <v>0</v>
      </c>
      <c r="O14" s="508">
        <v>2776</v>
      </c>
      <c r="P14" s="493">
        <f t="shared" si="0"/>
        <v>2776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2776</v>
      </c>
      <c r="W14" s="515">
        <f t="shared" si="10"/>
        <v>98033.523919999992</v>
      </c>
      <c r="Y14" s="513">
        <f t="shared" si="11"/>
        <v>24.116671714985259</v>
      </c>
      <c r="Z14" s="510">
        <f t="shared" si="12"/>
        <v>100.97168113630026</v>
      </c>
      <c r="AA14" s="511">
        <f t="shared" si="13"/>
        <v>95.702416700812122</v>
      </c>
      <c r="AE14" s="598" t="str">
        <f t="shared" si="3"/>
        <v>689701</v>
      </c>
      <c r="AF14" s="502"/>
      <c r="AG14" s="606"/>
      <c r="AH14" s="607"/>
      <c r="AI14" s="608">
        <f t="shared" si="4"/>
        <v>689701</v>
      </c>
      <c r="AJ14" s="609">
        <f t="shared" si="5"/>
        <v>689701</v>
      </c>
      <c r="AL14" s="602">
        <f t="shared" si="6"/>
        <v>0</v>
      </c>
      <c r="AM14" s="610">
        <f t="shared" si="6"/>
        <v>2776</v>
      </c>
      <c r="AN14" s="611">
        <f t="shared" si="7"/>
        <v>2776</v>
      </c>
      <c r="AO14" s="612">
        <f t="shared" si="8"/>
        <v>1</v>
      </c>
    </row>
    <row r="15" spans="1:41" x14ac:dyDescent="0.2">
      <c r="A15" s="502">
        <v>285</v>
      </c>
      <c r="B15" s="503">
        <v>0.375</v>
      </c>
      <c r="C15" s="504">
        <v>2013</v>
      </c>
      <c r="D15" s="504">
        <v>3</v>
      </c>
      <c r="E15" s="504">
        <v>13</v>
      </c>
      <c r="F15" s="505">
        <v>692477</v>
      </c>
      <c r="G15" s="504">
        <v>0</v>
      </c>
      <c r="H15" s="505">
        <v>614118</v>
      </c>
      <c r="I15" s="504">
        <v>0</v>
      </c>
      <c r="J15" s="504">
        <v>0</v>
      </c>
      <c r="K15" s="504">
        <v>0</v>
      </c>
      <c r="L15" s="506">
        <v>86.442899999999995</v>
      </c>
      <c r="M15" s="505">
        <v>18.5</v>
      </c>
      <c r="N15" s="507">
        <v>0</v>
      </c>
      <c r="O15" s="508">
        <v>2912</v>
      </c>
      <c r="P15" s="493">
        <f t="shared" si="0"/>
        <v>2912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2912</v>
      </c>
      <c r="W15" s="515">
        <f t="shared" si="10"/>
        <v>102836.31904</v>
      </c>
      <c r="Y15" s="513">
        <f t="shared" si="11"/>
        <v>25.238123108517261</v>
      </c>
      <c r="Z15" s="510">
        <f t="shared" si="12"/>
        <v>105.66697383074006</v>
      </c>
      <c r="AA15" s="511">
        <f t="shared" si="13"/>
        <v>100.15268288355482</v>
      </c>
      <c r="AE15" s="598" t="str">
        <f t="shared" si="3"/>
        <v>692477</v>
      </c>
      <c r="AF15" s="502"/>
      <c r="AG15" s="606"/>
      <c r="AH15" s="607"/>
      <c r="AI15" s="608">
        <f t="shared" si="4"/>
        <v>692477</v>
      </c>
      <c r="AJ15" s="609">
        <f t="shared" si="5"/>
        <v>692477</v>
      </c>
      <c r="AL15" s="602">
        <f t="shared" si="6"/>
        <v>0</v>
      </c>
      <c r="AM15" s="610">
        <f t="shared" si="6"/>
        <v>2912</v>
      </c>
      <c r="AN15" s="611">
        <f t="shared" si="7"/>
        <v>2912</v>
      </c>
      <c r="AO15" s="612">
        <f t="shared" si="8"/>
        <v>1</v>
      </c>
    </row>
    <row r="16" spans="1:41" x14ac:dyDescent="0.2">
      <c r="A16" s="502">
        <v>285</v>
      </c>
      <c r="B16" s="503">
        <v>0.375</v>
      </c>
      <c r="C16" s="504">
        <v>2013</v>
      </c>
      <c r="D16" s="504">
        <v>3</v>
      </c>
      <c r="E16" s="504">
        <v>14</v>
      </c>
      <c r="F16" s="505">
        <v>695389</v>
      </c>
      <c r="G16" s="504">
        <v>0</v>
      </c>
      <c r="H16" s="505">
        <v>614537</v>
      </c>
      <c r="I16" s="504">
        <v>0</v>
      </c>
      <c r="J16" s="504">
        <v>0</v>
      </c>
      <c r="K16" s="504">
        <v>0</v>
      </c>
      <c r="L16" s="506">
        <v>86.470299999999995</v>
      </c>
      <c r="M16" s="505">
        <v>16.899999999999999</v>
      </c>
      <c r="N16" s="507">
        <v>0</v>
      </c>
      <c r="O16" s="508">
        <v>2813</v>
      </c>
      <c r="P16" s="493">
        <f t="shared" si="0"/>
        <v>2813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2813</v>
      </c>
      <c r="W16" s="515">
        <f t="shared" si="10"/>
        <v>99340.166710000005</v>
      </c>
      <c r="Y16" s="513">
        <f t="shared" si="11"/>
        <v>24.316963661000312</v>
      </c>
      <c r="Z16" s="510">
        <f t="shared" si="12"/>
        <v>101.8102634558761</v>
      </c>
      <c r="AA16" s="511">
        <f t="shared" si="13"/>
        <v>96.497237126527764</v>
      </c>
      <c r="AE16" s="598" t="str">
        <f t="shared" si="3"/>
        <v>695389</v>
      </c>
      <c r="AF16" s="502"/>
      <c r="AG16" s="606"/>
      <c r="AH16" s="607"/>
      <c r="AI16" s="608">
        <f t="shared" si="4"/>
        <v>695389</v>
      </c>
      <c r="AJ16" s="609">
        <f t="shared" si="5"/>
        <v>695389</v>
      </c>
      <c r="AL16" s="602">
        <f t="shared" si="6"/>
        <v>0</v>
      </c>
      <c r="AM16" s="610">
        <f t="shared" si="6"/>
        <v>2813</v>
      </c>
      <c r="AN16" s="611">
        <f t="shared" si="7"/>
        <v>2813</v>
      </c>
      <c r="AO16" s="612">
        <f t="shared" si="8"/>
        <v>1</v>
      </c>
    </row>
    <row r="17" spans="1:41" x14ac:dyDescent="0.2">
      <c r="A17" s="502">
        <v>285</v>
      </c>
      <c r="B17" s="503">
        <v>0.375</v>
      </c>
      <c r="C17" s="504">
        <v>2013</v>
      </c>
      <c r="D17" s="504">
        <v>3</v>
      </c>
      <c r="E17" s="504">
        <v>15</v>
      </c>
      <c r="F17" s="505">
        <v>698202</v>
      </c>
      <c r="G17" s="504">
        <v>0</v>
      </c>
      <c r="H17" s="505">
        <v>614942</v>
      </c>
      <c r="I17" s="504">
        <v>0</v>
      </c>
      <c r="J17" s="504">
        <v>0</v>
      </c>
      <c r="K17" s="504">
        <v>0</v>
      </c>
      <c r="L17" s="506">
        <v>86.445599999999999</v>
      </c>
      <c r="M17" s="505">
        <v>16.2</v>
      </c>
      <c r="N17" s="507">
        <v>0</v>
      </c>
      <c r="O17" s="508">
        <v>3290</v>
      </c>
      <c r="P17" s="493">
        <f t="shared" si="0"/>
        <v>3290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3290</v>
      </c>
      <c r="W17" s="515">
        <f t="shared" si="10"/>
        <v>116185.2643</v>
      </c>
      <c r="Y17" s="513">
        <f t="shared" si="11"/>
        <v>28.796986412186648</v>
      </c>
      <c r="Z17" s="510">
        <f t="shared" si="12"/>
        <v>120.56722271054305</v>
      </c>
      <c r="AA17" s="511">
        <f t="shared" si="13"/>
        <v>114.27535382646792</v>
      </c>
      <c r="AE17" s="598" t="str">
        <f t="shared" si="3"/>
        <v>698202</v>
      </c>
      <c r="AF17" s="502"/>
      <c r="AG17" s="606"/>
      <c r="AH17" s="607"/>
      <c r="AI17" s="608">
        <f t="shared" si="4"/>
        <v>698202</v>
      </c>
      <c r="AJ17" s="609">
        <f t="shared" si="5"/>
        <v>698202</v>
      </c>
      <c r="AL17" s="602">
        <f t="shared" si="6"/>
        <v>0</v>
      </c>
      <c r="AM17" s="610">
        <f t="shared" si="6"/>
        <v>3290</v>
      </c>
      <c r="AN17" s="611">
        <f t="shared" si="7"/>
        <v>3290</v>
      </c>
      <c r="AO17" s="612">
        <f t="shared" si="8"/>
        <v>1</v>
      </c>
    </row>
    <row r="18" spans="1:41" x14ac:dyDescent="0.2">
      <c r="A18" s="502">
        <v>285</v>
      </c>
      <c r="B18" s="503">
        <v>0.375</v>
      </c>
      <c r="C18" s="504">
        <v>2013</v>
      </c>
      <c r="D18" s="504">
        <v>3</v>
      </c>
      <c r="E18" s="504">
        <v>16</v>
      </c>
      <c r="F18" s="505">
        <v>701492</v>
      </c>
      <c r="G18" s="504">
        <v>0</v>
      </c>
      <c r="H18" s="505">
        <v>615414</v>
      </c>
      <c r="I18" s="504">
        <v>0</v>
      </c>
      <c r="J18" s="504">
        <v>0</v>
      </c>
      <c r="K18" s="504">
        <v>0</v>
      </c>
      <c r="L18" s="506">
        <v>86.513099999999994</v>
      </c>
      <c r="M18" s="505">
        <v>15.8</v>
      </c>
      <c r="N18" s="507">
        <v>0</v>
      </c>
      <c r="O18" s="508">
        <v>234</v>
      </c>
      <c r="P18" s="493">
        <f t="shared" si="0"/>
        <v>234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234</v>
      </c>
      <c r="W18" s="515">
        <f t="shared" si="10"/>
        <v>8263.6327799999999</v>
      </c>
      <c r="Y18" s="513">
        <f t="shared" si="11"/>
        <v>2.0481747174625151</v>
      </c>
      <c r="Z18" s="510">
        <f t="shared" si="12"/>
        <v>8.5752979070720592</v>
      </c>
      <c r="AA18" s="511">
        <f t="shared" si="13"/>
        <v>8.1277911232199056</v>
      </c>
      <c r="AE18" s="598" t="str">
        <f t="shared" si="3"/>
        <v>701492</v>
      </c>
      <c r="AF18" s="502"/>
      <c r="AG18" s="606"/>
      <c r="AH18" s="607"/>
      <c r="AI18" s="608">
        <f t="shared" si="4"/>
        <v>701492</v>
      </c>
      <c r="AJ18" s="609">
        <f t="shared" si="5"/>
        <v>701492</v>
      </c>
      <c r="AL18" s="602">
        <f t="shared" si="6"/>
        <v>0</v>
      </c>
      <c r="AM18" s="610">
        <f t="shared" si="6"/>
        <v>234</v>
      </c>
      <c r="AN18" s="611">
        <f t="shared" si="7"/>
        <v>234</v>
      </c>
      <c r="AO18" s="612">
        <f t="shared" si="8"/>
        <v>1</v>
      </c>
    </row>
    <row r="19" spans="1:41" x14ac:dyDescent="0.2">
      <c r="A19" s="502">
        <v>285</v>
      </c>
      <c r="B19" s="503">
        <v>0.375</v>
      </c>
      <c r="C19" s="504">
        <v>2013</v>
      </c>
      <c r="D19" s="504">
        <v>3</v>
      </c>
      <c r="E19" s="504">
        <v>17</v>
      </c>
      <c r="F19" s="505">
        <v>701726</v>
      </c>
      <c r="G19" s="504">
        <v>0</v>
      </c>
      <c r="H19" s="505">
        <v>615448</v>
      </c>
      <c r="I19" s="504">
        <v>0</v>
      </c>
      <c r="J19" s="504">
        <v>0</v>
      </c>
      <c r="K19" s="504">
        <v>0</v>
      </c>
      <c r="L19" s="506">
        <v>88.853700000000003</v>
      </c>
      <c r="M19" s="505">
        <v>12.1</v>
      </c>
      <c r="N19" s="507">
        <v>0</v>
      </c>
      <c r="O19" s="508">
        <v>2765</v>
      </c>
      <c r="P19" s="493">
        <f t="shared" si="0"/>
        <v>2765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2765</v>
      </c>
      <c r="W19" s="515">
        <f t="shared" si="10"/>
        <v>97645.062550000002</v>
      </c>
      <c r="Y19" s="513">
        <f t="shared" si="11"/>
        <v>24.201722623007928</v>
      </c>
      <c r="Z19" s="510">
        <f t="shared" si="12"/>
        <v>101.32777227800959</v>
      </c>
      <c r="AA19" s="511">
        <f t="shared" si="13"/>
        <v>96.039925024371968</v>
      </c>
      <c r="AE19" s="598" t="str">
        <f t="shared" si="3"/>
        <v>701726</v>
      </c>
      <c r="AF19" s="502"/>
      <c r="AG19" s="606"/>
      <c r="AH19" s="607"/>
      <c r="AI19" s="608">
        <f t="shared" si="4"/>
        <v>701726</v>
      </c>
      <c r="AJ19" s="609">
        <f t="shared" si="5"/>
        <v>701726</v>
      </c>
      <c r="AL19" s="602">
        <f t="shared" si="6"/>
        <v>0</v>
      </c>
      <c r="AM19" s="610">
        <f t="shared" si="6"/>
        <v>2765</v>
      </c>
      <c r="AN19" s="611">
        <f t="shared" si="7"/>
        <v>2765</v>
      </c>
      <c r="AO19" s="612">
        <f t="shared" si="8"/>
        <v>1</v>
      </c>
    </row>
    <row r="20" spans="1:41" x14ac:dyDescent="0.2">
      <c r="A20" s="502">
        <v>285</v>
      </c>
      <c r="B20" s="503">
        <v>0.375</v>
      </c>
      <c r="C20" s="504">
        <v>2013</v>
      </c>
      <c r="D20" s="504">
        <v>3</v>
      </c>
      <c r="E20" s="504">
        <v>18</v>
      </c>
      <c r="F20" s="505">
        <v>704491</v>
      </c>
      <c r="G20" s="504">
        <v>0</v>
      </c>
      <c r="H20" s="505">
        <v>615843</v>
      </c>
      <c r="I20" s="504">
        <v>0</v>
      </c>
      <c r="J20" s="504">
        <v>0</v>
      </c>
      <c r="K20" s="504">
        <v>0</v>
      </c>
      <c r="L20" s="506">
        <v>88.197699999999998</v>
      </c>
      <c r="M20" s="505">
        <v>20</v>
      </c>
      <c r="N20" s="507">
        <v>0</v>
      </c>
      <c r="O20" s="508">
        <v>2818</v>
      </c>
      <c r="P20" s="493">
        <f t="shared" si="0"/>
        <v>2818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2818</v>
      </c>
      <c r="W20" s="515">
        <f t="shared" si="10"/>
        <v>99516.740059999996</v>
      </c>
      <c r="Y20" s="513">
        <f t="shared" si="11"/>
        <v>24.665625443629779</v>
      </c>
      <c r="Z20" s="510">
        <f t="shared" si="12"/>
        <v>103.27004060738915</v>
      </c>
      <c r="AA20" s="511">
        <f t="shared" si="13"/>
        <v>97.880834979631175</v>
      </c>
      <c r="AE20" s="598" t="str">
        <f t="shared" si="3"/>
        <v>704491</v>
      </c>
      <c r="AF20" s="502"/>
      <c r="AG20" s="606"/>
      <c r="AH20" s="607"/>
      <c r="AI20" s="608">
        <f t="shared" si="4"/>
        <v>704491</v>
      </c>
      <c r="AJ20" s="609">
        <f t="shared" si="5"/>
        <v>704491</v>
      </c>
      <c r="AL20" s="602">
        <f t="shared" si="6"/>
        <v>0</v>
      </c>
      <c r="AM20" s="610">
        <f t="shared" si="6"/>
        <v>2818</v>
      </c>
      <c r="AN20" s="611">
        <f t="shared" si="7"/>
        <v>2818</v>
      </c>
      <c r="AO20" s="612">
        <f t="shared" si="8"/>
        <v>1</v>
      </c>
    </row>
    <row r="21" spans="1:41" x14ac:dyDescent="0.2">
      <c r="A21" s="502">
        <v>285</v>
      </c>
      <c r="B21" s="503">
        <v>0.375</v>
      </c>
      <c r="C21" s="504">
        <v>2013</v>
      </c>
      <c r="D21" s="504">
        <v>3</v>
      </c>
      <c r="E21" s="504">
        <v>19</v>
      </c>
      <c r="F21" s="505">
        <v>707309</v>
      </c>
      <c r="G21" s="504">
        <v>0</v>
      </c>
      <c r="H21" s="505">
        <v>616250</v>
      </c>
      <c r="I21" s="504">
        <v>0</v>
      </c>
      <c r="J21" s="504">
        <v>0</v>
      </c>
      <c r="K21" s="504">
        <v>0</v>
      </c>
      <c r="L21" s="506">
        <v>87.417900000000003</v>
      </c>
      <c r="M21" s="505">
        <v>20.2</v>
      </c>
      <c r="N21" s="507">
        <v>0</v>
      </c>
      <c r="O21" s="508">
        <v>2940</v>
      </c>
      <c r="P21" s="493">
        <f t="shared" si="0"/>
        <v>2940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2940</v>
      </c>
      <c r="W21" s="515">
        <f t="shared" si="10"/>
        <v>103825.1298</v>
      </c>
      <c r="Y21" s="513">
        <f t="shared" si="11"/>
        <v>25.733477219400836</v>
      </c>
      <c r="Z21" s="510">
        <f t="shared" si="12"/>
        <v>107.74092242218741</v>
      </c>
      <c r="AA21" s="511">
        <f t="shared" si="13"/>
        <v>102.11840129173729</v>
      </c>
      <c r="AE21" s="598" t="str">
        <f t="shared" si="3"/>
        <v>707309</v>
      </c>
      <c r="AF21" s="502"/>
      <c r="AG21" s="606"/>
      <c r="AH21" s="607"/>
      <c r="AI21" s="608">
        <f t="shared" si="4"/>
        <v>707309</v>
      </c>
      <c r="AJ21" s="609">
        <f t="shared" si="5"/>
        <v>707309</v>
      </c>
      <c r="AL21" s="602">
        <f t="shared" si="6"/>
        <v>0</v>
      </c>
      <c r="AM21" s="610">
        <f t="shared" si="6"/>
        <v>2940</v>
      </c>
      <c r="AN21" s="611">
        <f t="shared" si="7"/>
        <v>2940</v>
      </c>
      <c r="AO21" s="612">
        <f t="shared" si="8"/>
        <v>1</v>
      </c>
    </row>
    <row r="22" spans="1:41" x14ac:dyDescent="0.2">
      <c r="A22" s="502">
        <v>285</v>
      </c>
      <c r="B22" s="503">
        <v>0.375</v>
      </c>
      <c r="C22" s="504">
        <v>2013</v>
      </c>
      <c r="D22" s="504">
        <v>3</v>
      </c>
      <c r="E22" s="504">
        <v>20</v>
      </c>
      <c r="F22" s="505">
        <v>710249</v>
      </c>
      <c r="G22" s="504">
        <v>0</v>
      </c>
      <c r="H22" s="505">
        <v>616676</v>
      </c>
      <c r="I22" s="504">
        <v>0</v>
      </c>
      <c r="J22" s="504">
        <v>0</v>
      </c>
      <c r="K22" s="504">
        <v>0</v>
      </c>
      <c r="L22" s="506">
        <v>86.413700000000006</v>
      </c>
      <c r="M22" s="505">
        <v>19.399999999999999</v>
      </c>
      <c r="N22" s="507">
        <v>0</v>
      </c>
      <c r="O22" s="508">
        <v>3064</v>
      </c>
      <c r="P22" s="493">
        <f t="shared" si="0"/>
        <v>3064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3064</v>
      </c>
      <c r="W22" s="515">
        <f t="shared" si="10"/>
        <v>108204.14887999999</v>
      </c>
      <c r="Y22" s="513">
        <f t="shared" si="11"/>
        <v>26.818834761987809</v>
      </c>
      <c r="Z22" s="510">
        <f t="shared" si="12"/>
        <v>112.28509738149056</v>
      </c>
      <c r="AA22" s="511">
        <f t="shared" si="13"/>
        <v>106.42543590404185</v>
      </c>
      <c r="AE22" s="598" t="str">
        <f t="shared" si="3"/>
        <v>710249</v>
      </c>
      <c r="AF22" s="502"/>
      <c r="AG22" s="606"/>
      <c r="AH22" s="607"/>
      <c r="AI22" s="608">
        <f t="shared" si="4"/>
        <v>710249</v>
      </c>
      <c r="AJ22" s="609">
        <f t="shared" si="5"/>
        <v>710249</v>
      </c>
      <c r="AL22" s="602">
        <f t="shared" si="6"/>
        <v>0</v>
      </c>
      <c r="AM22" s="610">
        <f t="shared" si="6"/>
        <v>3064</v>
      </c>
      <c r="AN22" s="611">
        <f t="shared" si="7"/>
        <v>3064</v>
      </c>
      <c r="AO22" s="612">
        <f t="shared" si="8"/>
        <v>1</v>
      </c>
    </row>
    <row r="23" spans="1:41" x14ac:dyDescent="0.2">
      <c r="A23" s="502">
        <v>285</v>
      </c>
      <c r="B23" s="503">
        <v>0.375</v>
      </c>
      <c r="C23" s="504">
        <v>2013</v>
      </c>
      <c r="D23" s="504">
        <v>3</v>
      </c>
      <c r="E23" s="504">
        <v>21</v>
      </c>
      <c r="F23" s="505">
        <v>713313</v>
      </c>
      <c r="G23" s="504">
        <v>0</v>
      </c>
      <c r="H23" s="505">
        <v>617120</v>
      </c>
      <c r="I23" s="504">
        <v>0</v>
      </c>
      <c r="J23" s="504">
        <v>0</v>
      </c>
      <c r="K23" s="504">
        <v>0</v>
      </c>
      <c r="L23" s="506">
        <v>86.158299999999997</v>
      </c>
      <c r="M23" s="505">
        <v>18.7</v>
      </c>
      <c r="N23" s="507">
        <v>0</v>
      </c>
      <c r="O23" s="508">
        <v>2958</v>
      </c>
      <c r="P23" s="493">
        <f t="shared" si="0"/>
        <v>2958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2958</v>
      </c>
      <c r="W23" s="515">
        <f t="shared" si="10"/>
        <v>104460.79386000001</v>
      </c>
      <c r="Y23" s="513">
        <f t="shared" si="11"/>
        <v>25.891029120744104</v>
      </c>
      <c r="Z23" s="510">
        <f t="shared" si="12"/>
        <v>108.40056072273141</v>
      </c>
      <c r="AA23" s="511">
        <f t="shared" si="13"/>
        <v>102.74361599352343</v>
      </c>
      <c r="AE23" s="598" t="str">
        <f t="shared" si="3"/>
        <v>713313</v>
      </c>
      <c r="AF23" s="502"/>
      <c r="AG23" s="606"/>
      <c r="AH23" s="607"/>
      <c r="AI23" s="608">
        <f t="shared" si="4"/>
        <v>713313</v>
      </c>
      <c r="AJ23" s="609">
        <f t="shared" si="5"/>
        <v>713313</v>
      </c>
      <c r="AL23" s="602">
        <f t="shared" si="6"/>
        <v>0</v>
      </c>
      <c r="AM23" s="610">
        <f t="shared" si="6"/>
        <v>2958</v>
      </c>
      <c r="AN23" s="611">
        <f t="shared" si="7"/>
        <v>2958</v>
      </c>
      <c r="AO23" s="612">
        <f t="shared" si="8"/>
        <v>1</v>
      </c>
    </row>
    <row r="24" spans="1:41" x14ac:dyDescent="0.2">
      <c r="A24" s="502">
        <v>285</v>
      </c>
      <c r="B24" s="503">
        <v>0.375</v>
      </c>
      <c r="C24" s="504">
        <v>2013</v>
      </c>
      <c r="D24" s="504">
        <v>3</v>
      </c>
      <c r="E24" s="504">
        <v>22</v>
      </c>
      <c r="F24" s="505">
        <v>716271</v>
      </c>
      <c r="G24" s="504">
        <v>0</v>
      </c>
      <c r="H24" s="505">
        <v>617550</v>
      </c>
      <c r="I24" s="504">
        <v>0</v>
      </c>
      <c r="J24" s="504">
        <v>0</v>
      </c>
      <c r="K24" s="504">
        <v>0</v>
      </c>
      <c r="L24" s="506">
        <v>86.152900000000002</v>
      </c>
      <c r="M24" s="505">
        <v>19.2</v>
      </c>
      <c r="N24" s="507">
        <v>0</v>
      </c>
      <c r="O24" s="508">
        <v>3149</v>
      </c>
      <c r="P24" s="493">
        <f t="shared" si="0"/>
        <v>3149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3149</v>
      </c>
      <c r="W24" s="515">
        <f t="shared" si="10"/>
        <v>111205.89582999999</v>
      </c>
      <c r="Y24" s="513">
        <f t="shared" si="11"/>
        <v>27.562829851664361</v>
      </c>
      <c r="Z24" s="510">
        <f t="shared" si="12"/>
        <v>115.40005602294835</v>
      </c>
      <c r="AA24" s="511">
        <f t="shared" si="13"/>
        <v>109.37783866247642</v>
      </c>
      <c r="AE24" s="598" t="str">
        <f t="shared" si="3"/>
        <v>716271</v>
      </c>
      <c r="AF24" s="502"/>
      <c r="AG24" s="606"/>
      <c r="AH24" s="607"/>
      <c r="AI24" s="608">
        <f t="shared" si="4"/>
        <v>716271</v>
      </c>
      <c r="AJ24" s="609">
        <f t="shared" si="5"/>
        <v>716271</v>
      </c>
      <c r="AL24" s="602">
        <f t="shared" si="6"/>
        <v>0</v>
      </c>
      <c r="AM24" s="610">
        <f t="shared" si="6"/>
        <v>3149</v>
      </c>
      <c r="AN24" s="611">
        <f t="shared" si="7"/>
        <v>3149</v>
      </c>
      <c r="AO24" s="612">
        <f t="shared" si="8"/>
        <v>1</v>
      </c>
    </row>
    <row r="25" spans="1:41" x14ac:dyDescent="0.2">
      <c r="A25" s="502">
        <v>285</v>
      </c>
      <c r="B25" s="503">
        <v>0.375</v>
      </c>
      <c r="C25" s="504">
        <v>2013</v>
      </c>
      <c r="D25" s="504">
        <v>3</v>
      </c>
      <c r="E25" s="504">
        <v>23</v>
      </c>
      <c r="F25" s="505">
        <v>719420</v>
      </c>
      <c r="G25" s="504">
        <v>0</v>
      </c>
      <c r="H25" s="505">
        <v>618007</v>
      </c>
      <c r="I25" s="504">
        <v>0</v>
      </c>
      <c r="J25" s="504">
        <v>0</v>
      </c>
      <c r="K25" s="504">
        <v>0</v>
      </c>
      <c r="L25" s="506">
        <v>86.357600000000005</v>
      </c>
      <c r="M25" s="505">
        <v>19.600000000000001</v>
      </c>
      <c r="N25" s="507">
        <v>0</v>
      </c>
      <c r="O25" s="508">
        <v>1329</v>
      </c>
      <c r="P25" s="493">
        <f t="shared" si="0"/>
        <v>1329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1329</v>
      </c>
      <c r="W25" s="515">
        <f t="shared" si="10"/>
        <v>46933.196429999996</v>
      </c>
      <c r="Y25" s="513">
        <f t="shared" si="11"/>
        <v>11.632582049178131</v>
      </c>
      <c r="Z25" s="510">
        <f t="shared" si="12"/>
        <v>48.703294523499004</v>
      </c>
      <c r="AA25" s="511">
        <f t="shared" si="13"/>
        <v>46.161685481877157</v>
      </c>
      <c r="AE25" s="598" t="str">
        <f t="shared" si="3"/>
        <v>719420</v>
      </c>
      <c r="AF25" s="502"/>
      <c r="AG25" s="606"/>
      <c r="AH25" s="607"/>
      <c r="AI25" s="608">
        <f t="shared" si="4"/>
        <v>719420</v>
      </c>
      <c r="AJ25" s="609">
        <f t="shared" si="5"/>
        <v>719420</v>
      </c>
      <c r="AL25" s="602">
        <f t="shared" si="6"/>
        <v>0</v>
      </c>
      <c r="AM25" s="610">
        <f t="shared" si="6"/>
        <v>1329</v>
      </c>
      <c r="AN25" s="611">
        <f t="shared" si="7"/>
        <v>1329</v>
      </c>
      <c r="AO25" s="612">
        <f t="shared" si="8"/>
        <v>1</v>
      </c>
    </row>
    <row r="26" spans="1:41" x14ac:dyDescent="0.2">
      <c r="A26" s="502">
        <v>285</v>
      </c>
      <c r="B26" s="503">
        <v>0.375</v>
      </c>
      <c r="C26" s="504">
        <v>2013</v>
      </c>
      <c r="D26" s="504">
        <v>3</v>
      </c>
      <c r="E26" s="504">
        <v>24</v>
      </c>
      <c r="F26" s="505">
        <v>720749</v>
      </c>
      <c r="G26" s="504">
        <v>0</v>
      </c>
      <c r="H26" s="505">
        <v>618200</v>
      </c>
      <c r="I26" s="504">
        <v>0</v>
      </c>
      <c r="J26" s="504">
        <v>0</v>
      </c>
      <c r="K26" s="504">
        <v>0</v>
      </c>
      <c r="L26" s="506">
        <v>87.664000000000001</v>
      </c>
      <c r="M26" s="505">
        <v>18.100000000000001</v>
      </c>
      <c r="N26" s="507">
        <v>0</v>
      </c>
      <c r="O26" s="508">
        <v>3070</v>
      </c>
      <c r="P26" s="493">
        <f t="shared" si="0"/>
        <v>3070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3070</v>
      </c>
      <c r="W26" s="515">
        <f t="shared" si="10"/>
        <v>108416.03689999999</v>
      </c>
      <c r="Y26" s="513">
        <f t="shared" si="11"/>
        <v>26.871352062435562</v>
      </c>
      <c r="Z26" s="510">
        <f t="shared" si="12"/>
        <v>112.50497681500522</v>
      </c>
      <c r="AA26" s="511">
        <f t="shared" si="13"/>
        <v>106.63384080463722</v>
      </c>
      <c r="AE26" s="598" t="str">
        <f t="shared" si="3"/>
        <v>720749</v>
      </c>
      <c r="AF26" s="502"/>
      <c r="AG26" s="606"/>
      <c r="AH26" s="607"/>
      <c r="AI26" s="608">
        <f t="shared" si="4"/>
        <v>720749</v>
      </c>
      <c r="AJ26" s="609">
        <f t="shared" si="5"/>
        <v>720749</v>
      </c>
      <c r="AL26" s="602">
        <f t="shared" si="6"/>
        <v>0</v>
      </c>
      <c r="AM26" s="610">
        <f t="shared" si="6"/>
        <v>3070</v>
      </c>
      <c r="AN26" s="611">
        <f t="shared" si="7"/>
        <v>3070</v>
      </c>
      <c r="AO26" s="612">
        <f t="shared" si="8"/>
        <v>1</v>
      </c>
    </row>
    <row r="27" spans="1:41" x14ac:dyDescent="0.2">
      <c r="A27" s="502">
        <v>285</v>
      </c>
      <c r="B27" s="503">
        <v>0.375</v>
      </c>
      <c r="C27" s="504">
        <v>2013</v>
      </c>
      <c r="D27" s="504">
        <v>3</v>
      </c>
      <c r="E27" s="504">
        <v>25</v>
      </c>
      <c r="F27" s="505">
        <v>723819</v>
      </c>
      <c r="G27" s="504">
        <v>0</v>
      </c>
      <c r="H27" s="505">
        <v>618645</v>
      </c>
      <c r="I27" s="504">
        <v>0</v>
      </c>
      <c r="J27" s="504">
        <v>0</v>
      </c>
      <c r="K27" s="504">
        <v>0</v>
      </c>
      <c r="L27" s="506">
        <v>86.723299999999995</v>
      </c>
      <c r="M27" s="505">
        <v>19.5</v>
      </c>
      <c r="N27" s="507">
        <v>0</v>
      </c>
      <c r="O27" s="508">
        <v>3021</v>
      </c>
      <c r="P27" s="493">
        <f t="shared" si="0"/>
        <v>3021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3021</v>
      </c>
      <c r="W27" s="515">
        <f t="shared" si="10"/>
        <v>106685.61807</v>
      </c>
      <c r="Y27" s="513">
        <f t="shared" si="11"/>
        <v>26.44246077544555</v>
      </c>
      <c r="Z27" s="510">
        <f t="shared" si="12"/>
        <v>110.70929477463544</v>
      </c>
      <c r="AA27" s="511">
        <f t="shared" si="13"/>
        <v>104.93186744977494</v>
      </c>
      <c r="AE27" s="598" t="str">
        <f t="shared" si="3"/>
        <v>723819</v>
      </c>
      <c r="AF27" s="502"/>
      <c r="AG27" s="606"/>
      <c r="AH27" s="607"/>
      <c r="AI27" s="608">
        <f t="shared" si="4"/>
        <v>723819</v>
      </c>
      <c r="AJ27" s="609">
        <f t="shared" si="5"/>
        <v>723819</v>
      </c>
      <c r="AL27" s="602">
        <f t="shared" si="6"/>
        <v>0</v>
      </c>
      <c r="AM27" s="610">
        <f t="shared" si="6"/>
        <v>3021</v>
      </c>
      <c r="AN27" s="611">
        <f t="shared" si="7"/>
        <v>3021</v>
      </c>
      <c r="AO27" s="612">
        <f t="shared" si="8"/>
        <v>1</v>
      </c>
    </row>
    <row r="28" spans="1:41" x14ac:dyDescent="0.2">
      <c r="A28" s="502">
        <v>285</v>
      </c>
      <c r="B28" s="503">
        <v>0.375</v>
      </c>
      <c r="C28" s="504">
        <v>2013</v>
      </c>
      <c r="D28" s="504">
        <v>3</v>
      </c>
      <c r="E28" s="504">
        <v>26</v>
      </c>
      <c r="F28" s="505">
        <v>726840</v>
      </c>
      <c r="G28" s="504">
        <v>0</v>
      </c>
      <c r="H28" s="505">
        <v>619084</v>
      </c>
      <c r="I28" s="504">
        <v>0</v>
      </c>
      <c r="J28" s="504">
        <v>0</v>
      </c>
      <c r="K28" s="504">
        <v>0</v>
      </c>
      <c r="L28" s="506">
        <v>86.183800000000005</v>
      </c>
      <c r="M28" s="505">
        <v>18.899999999999999</v>
      </c>
      <c r="N28" s="507">
        <v>0</v>
      </c>
      <c r="O28" s="508">
        <v>2813</v>
      </c>
      <c r="P28" s="493">
        <f t="shared" si="0"/>
        <v>2813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2813</v>
      </c>
      <c r="W28" s="515">
        <f t="shared" si="10"/>
        <v>99340.166710000005</v>
      </c>
      <c r="Y28" s="513">
        <f t="shared" si="11"/>
        <v>24.621861026589983</v>
      </c>
      <c r="Z28" s="510">
        <f t="shared" si="12"/>
        <v>103.08680774612694</v>
      </c>
      <c r="AA28" s="511">
        <f t="shared" si="13"/>
        <v>97.707164229135032</v>
      </c>
      <c r="AE28" s="598" t="str">
        <f t="shared" si="3"/>
        <v>726840</v>
      </c>
      <c r="AF28" s="502"/>
      <c r="AG28" s="606"/>
      <c r="AH28" s="607"/>
      <c r="AI28" s="608">
        <f t="shared" si="4"/>
        <v>726840</v>
      </c>
      <c r="AJ28" s="609">
        <f t="shared" si="5"/>
        <v>726840</v>
      </c>
      <c r="AL28" s="602">
        <f t="shared" si="6"/>
        <v>0</v>
      </c>
      <c r="AM28" s="610">
        <f t="shared" si="6"/>
        <v>2813</v>
      </c>
      <c r="AN28" s="611">
        <f t="shared" si="7"/>
        <v>2813</v>
      </c>
      <c r="AO28" s="612">
        <f t="shared" si="8"/>
        <v>1</v>
      </c>
    </row>
    <row r="29" spans="1:41" x14ac:dyDescent="0.2">
      <c r="A29" s="502">
        <v>285</v>
      </c>
      <c r="B29" s="503">
        <v>0.375</v>
      </c>
      <c r="C29" s="504">
        <v>2013</v>
      </c>
      <c r="D29" s="504">
        <v>3</v>
      </c>
      <c r="E29" s="504">
        <v>27</v>
      </c>
      <c r="F29" s="505">
        <v>729653</v>
      </c>
      <c r="G29" s="504">
        <v>0</v>
      </c>
      <c r="H29" s="505">
        <v>619489</v>
      </c>
      <c r="I29" s="504">
        <v>0</v>
      </c>
      <c r="J29" s="504">
        <v>0</v>
      </c>
      <c r="K29" s="504">
        <v>0</v>
      </c>
      <c r="L29" s="506">
        <v>86.509200000000007</v>
      </c>
      <c r="M29" s="505">
        <v>17.100000000000001</v>
      </c>
      <c r="N29" s="507">
        <v>0</v>
      </c>
      <c r="O29" s="508">
        <v>253</v>
      </c>
      <c r="P29" s="493">
        <f t="shared" si="0"/>
        <v>253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253</v>
      </c>
      <c r="W29" s="515">
        <f t="shared" si="10"/>
        <v>8934.6115100000006</v>
      </c>
      <c r="Y29" s="513">
        <f t="shared" si="11"/>
        <v>2.2144795022137456</v>
      </c>
      <c r="Z29" s="510">
        <f t="shared" si="12"/>
        <v>9.271582779868508</v>
      </c>
      <c r="AA29" s="511">
        <f t="shared" si="13"/>
        <v>8.7877399751052838</v>
      </c>
      <c r="AE29" s="598" t="str">
        <f t="shared" si="3"/>
        <v>729653</v>
      </c>
      <c r="AF29" s="502"/>
      <c r="AG29" s="606"/>
      <c r="AH29" s="607"/>
      <c r="AI29" s="608">
        <f t="shared" si="4"/>
        <v>729653</v>
      </c>
      <c r="AJ29" s="609">
        <f t="shared" si="5"/>
        <v>729653</v>
      </c>
      <c r="AL29" s="602">
        <f t="shared" si="6"/>
        <v>0</v>
      </c>
      <c r="AM29" s="610">
        <f t="shared" si="6"/>
        <v>253</v>
      </c>
      <c r="AN29" s="611">
        <f t="shared" si="7"/>
        <v>253</v>
      </c>
      <c r="AO29" s="612">
        <f t="shared" si="8"/>
        <v>1</v>
      </c>
    </row>
    <row r="30" spans="1:41" x14ac:dyDescent="0.2">
      <c r="A30" s="502">
        <v>285</v>
      </c>
      <c r="B30" s="503">
        <v>0.375</v>
      </c>
      <c r="C30" s="504">
        <v>2013</v>
      </c>
      <c r="D30" s="504">
        <v>3</v>
      </c>
      <c r="E30" s="504">
        <v>28</v>
      </c>
      <c r="F30" s="505">
        <v>729906</v>
      </c>
      <c r="G30" s="504">
        <v>0</v>
      </c>
      <c r="H30" s="505">
        <v>619527</v>
      </c>
      <c r="I30" s="504">
        <v>0</v>
      </c>
      <c r="J30" s="504">
        <v>0</v>
      </c>
      <c r="K30" s="504">
        <v>0</v>
      </c>
      <c r="L30" s="506">
        <v>87.894499999999994</v>
      </c>
      <c r="M30" s="505">
        <v>19.100000000000001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729906</v>
      </c>
      <c r="AF30" s="502"/>
      <c r="AG30" s="606"/>
      <c r="AH30" s="607"/>
      <c r="AI30" s="608">
        <f t="shared" si="4"/>
        <v>729906</v>
      </c>
      <c r="AJ30" s="609">
        <f t="shared" si="5"/>
        <v>729906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285</v>
      </c>
      <c r="B31" s="503">
        <v>0.375</v>
      </c>
      <c r="C31" s="504">
        <v>2013</v>
      </c>
      <c r="D31" s="504">
        <v>3</v>
      </c>
      <c r="E31" s="504">
        <v>29</v>
      </c>
      <c r="F31" s="505">
        <v>729906</v>
      </c>
      <c r="G31" s="504">
        <v>0</v>
      </c>
      <c r="H31" s="505">
        <v>619527</v>
      </c>
      <c r="I31" s="504">
        <v>0</v>
      </c>
      <c r="J31" s="504">
        <v>0</v>
      </c>
      <c r="K31" s="504">
        <v>0</v>
      </c>
      <c r="L31" s="506">
        <v>89.298900000000003</v>
      </c>
      <c r="M31" s="505">
        <v>19.7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729906</v>
      </c>
      <c r="AF31" s="502"/>
      <c r="AG31" s="606"/>
      <c r="AH31" s="607"/>
      <c r="AI31" s="608">
        <f t="shared" si="4"/>
        <v>729906</v>
      </c>
      <c r="AJ31" s="609">
        <f t="shared" si="5"/>
        <v>729906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285</v>
      </c>
      <c r="B32" s="503">
        <v>0.375</v>
      </c>
      <c r="C32" s="504">
        <v>2013</v>
      </c>
      <c r="D32" s="504">
        <v>3</v>
      </c>
      <c r="E32" s="504">
        <v>30</v>
      </c>
      <c r="F32" s="505">
        <v>729906</v>
      </c>
      <c r="G32" s="504">
        <v>0</v>
      </c>
      <c r="H32" s="505">
        <v>619527</v>
      </c>
      <c r="I32" s="504">
        <v>0</v>
      </c>
      <c r="J32" s="504">
        <v>0</v>
      </c>
      <c r="K32" s="504">
        <v>0</v>
      </c>
      <c r="L32" s="506">
        <v>92.405799999999999</v>
      </c>
      <c r="M32" s="505">
        <v>21.5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729906</v>
      </c>
      <c r="AF32" s="502"/>
      <c r="AG32" s="606"/>
      <c r="AH32" s="607"/>
      <c r="AI32" s="608">
        <f t="shared" si="4"/>
        <v>729906</v>
      </c>
      <c r="AJ32" s="609">
        <f t="shared" si="5"/>
        <v>729906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285</v>
      </c>
      <c r="B33" s="503">
        <v>0.375</v>
      </c>
      <c r="C33" s="504">
        <v>2013</v>
      </c>
      <c r="D33" s="504">
        <v>3</v>
      </c>
      <c r="E33" s="504">
        <v>31</v>
      </c>
      <c r="F33" s="505">
        <v>729906</v>
      </c>
      <c r="G33" s="504">
        <v>0</v>
      </c>
      <c r="H33" s="505">
        <v>619527</v>
      </c>
      <c r="I33" s="504">
        <v>0</v>
      </c>
      <c r="J33" s="504">
        <v>0</v>
      </c>
      <c r="K33" s="504">
        <v>0</v>
      </c>
      <c r="L33" s="506">
        <v>91.818600000000004</v>
      </c>
      <c r="M33" s="505">
        <v>21.6</v>
      </c>
      <c r="N33" s="507">
        <v>0</v>
      </c>
      <c r="O33" s="508">
        <v>1292</v>
      </c>
      <c r="P33" s="493">
        <f t="shared" si="0"/>
        <v>1292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1292</v>
      </c>
      <c r="W33" s="519">
        <f t="shared" si="10"/>
        <v>45626.553639999998</v>
      </c>
      <c r="Y33" s="513">
        <f t="shared" si="11"/>
        <v>11.308725363083632</v>
      </c>
      <c r="Z33" s="510">
        <f t="shared" si="12"/>
        <v>47.347371350158546</v>
      </c>
      <c r="AA33" s="511">
        <f t="shared" si="13"/>
        <v>44.876521928205641</v>
      </c>
      <c r="AE33" s="598" t="str">
        <f t="shared" si="3"/>
        <v>729906</v>
      </c>
      <c r="AF33" s="502"/>
      <c r="AG33" s="606"/>
      <c r="AH33" s="607"/>
      <c r="AI33" s="608">
        <f t="shared" si="4"/>
        <v>729906</v>
      </c>
      <c r="AJ33" s="609">
        <f t="shared" si="5"/>
        <v>729906</v>
      </c>
      <c r="AL33" s="602">
        <f t="shared" si="6"/>
        <v>0</v>
      </c>
      <c r="AM33" s="613">
        <f t="shared" si="6"/>
        <v>1292</v>
      </c>
      <c r="AN33" s="611">
        <f t="shared" si="7"/>
        <v>1292</v>
      </c>
      <c r="AO33" s="612">
        <f t="shared" si="8"/>
        <v>1</v>
      </c>
    </row>
    <row r="34" spans="1:41" ht="13.5" thickBot="1" x14ac:dyDescent="0.25">
      <c r="A34" s="148">
        <v>285</v>
      </c>
      <c r="B34" s="520">
        <v>0.375</v>
      </c>
      <c r="C34" s="146">
        <v>2013</v>
      </c>
      <c r="D34" s="146">
        <v>4</v>
      </c>
      <c r="E34" s="146">
        <v>1</v>
      </c>
      <c r="F34" s="521">
        <v>731198</v>
      </c>
      <c r="G34" s="146">
        <v>0</v>
      </c>
      <c r="H34" s="521">
        <v>619714</v>
      </c>
      <c r="I34" s="146">
        <v>0</v>
      </c>
      <c r="J34" s="146">
        <v>0</v>
      </c>
      <c r="K34" s="146">
        <v>0</v>
      </c>
      <c r="L34" s="522">
        <v>88.472200000000001</v>
      </c>
      <c r="M34" s="521">
        <v>25.1</v>
      </c>
      <c r="N34" s="523">
        <v>0</v>
      </c>
      <c r="O34" s="524">
        <v>3418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731198</v>
      </c>
      <c r="AF34" s="148"/>
      <c r="AG34" s="614"/>
      <c r="AH34" s="615"/>
      <c r="AI34" s="616">
        <f t="shared" si="4"/>
        <v>731198</v>
      </c>
      <c r="AJ34" s="617">
        <f t="shared" si="5"/>
        <v>731198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92.405799999999999</v>
      </c>
      <c r="M36" s="535">
        <f>MAX(M3:M34)</f>
        <v>25.1</v>
      </c>
      <c r="N36" s="533" t="s">
        <v>68</v>
      </c>
      <c r="O36" s="535">
        <f>SUM(O3:O33)</f>
        <v>65443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65443</v>
      </c>
      <c r="W36" s="539">
        <f>SUM(W3:W33)</f>
        <v>2311097.94881</v>
      </c>
      <c r="Y36" s="540">
        <f>SUM(Y3:Y33)</f>
        <v>570.11958650580902</v>
      </c>
      <c r="Z36" s="541">
        <f>SUM(Z3:Z33)</f>
        <v>2386.9766847825204</v>
      </c>
      <c r="AA36" s="542">
        <f>SUM(AA3:AA33)</f>
        <v>2262.4109529662337</v>
      </c>
      <c r="AF36" s="621" t="s">
        <v>208</v>
      </c>
      <c r="AG36" s="534">
        <f>COUNT(AG3:AG34)</f>
        <v>0</v>
      </c>
      <c r="AJ36" s="622">
        <f>SUM(AJ3:AJ33)</f>
        <v>21707037</v>
      </c>
      <c r="AK36" s="623" t="s">
        <v>176</v>
      </c>
      <c r="AL36" s="624"/>
      <c r="AM36" s="624"/>
      <c r="AN36" s="622">
        <f>SUM(AN3:AN33)</f>
        <v>65443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87.348587500000008</v>
      </c>
      <c r="M37" s="543">
        <f>AVERAGE(M3:M34)</f>
        <v>18.187500000000004</v>
      </c>
      <c r="N37" s="533" t="s">
        <v>172</v>
      </c>
      <c r="O37" s="544">
        <f>O36*35.31467</f>
        <v>2311097.94881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32</v>
      </c>
      <c r="AN37" s="627">
        <f>IFERROR(AN36/SUM(AM3:AM33),"")</f>
        <v>1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86.012100000000004</v>
      </c>
      <c r="M38" s="544">
        <f>MIN(M3:M34)</f>
        <v>6.4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96.083446250000023</v>
      </c>
      <c r="M44" s="551">
        <f>M37*(1+$L$43)</f>
        <v>20.006250000000005</v>
      </c>
    </row>
    <row r="45" spans="1:41" x14ac:dyDescent="0.2">
      <c r="K45" s="550" t="s">
        <v>186</v>
      </c>
      <c r="L45" s="551">
        <f>L37*(1-$L$43)</f>
        <v>78.613728750000007</v>
      </c>
      <c r="M45" s="551">
        <f>M37*(1-$L$43)</f>
        <v>16.368750000000002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007" priority="47" stopIfTrue="1" operator="lessThan">
      <formula>$L$45</formula>
    </cfRule>
    <cfRule type="cellIs" dxfId="1006" priority="48" stopIfTrue="1" operator="greaterThan">
      <formula>$L$44</formula>
    </cfRule>
  </conditionalFormatting>
  <conditionalFormatting sqref="M3:M34">
    <cfRule type="cellIs" dxfId="1005" priority="45" stopIfTrue="1" operator="lessThan">
      <formula>$M$45</formula>
    </cfRule>
    <cfRule type="cellIs" dxfId="1004" priority="46" stopIfTrue="1" operator="greaterThan">
      <formula>$M$44</formula>
    </cfRule>
  </conditionalFormatting>
  <conditionalFormatting sqref="O3:O34">
    <cfRule type="cellIs" dxfId="1003" priority="44" stopIfTrue="1" operator="lessThan">
      <formula>0</formula>
    </cfRule>
  </conditionalFormatting>
  <conditionalFormatting sqref="O3:O33">
    <cfRule type="cellIs" dxfId="1002" priority="43" stopIfTrue="1" operator="lessThan">
      <formula>0</formula>
    </cfRule>
  </conditionalFormatting>
  <conditionalFormatting sqref="O3">
    <cfRule type="cellIs" dxfId="1001" priority="42" stopIfTrue="1" operator="notEqual">
      <formula>$P$3</formula>
    </cfRule>
  </conditionalFormatting>
  <conditionalFormatting sqref="O4">
    <cfRule type="cellIs" dxfId="1000" priority="41" stopIfTrue="1" operator="notEqual">
      <formula>P$4</formula>
    </cfRule>
  </conditionalFormatting>
  <conditionalFormatting sqref="O5">
    <cfRule type="cellIs" dxfId="999" priority="40" stopIfTrue="1" operator="notEqual">
      <formula>$P$5</formula>
    </cfRule>
  </conditionalFormatting>
  <conditionalFormatting sqref="O6">
    <cfRule type="cellIs" dxfId="998" priority="39" stopIfTrue="1" operator="notEqual">
      <formula>$P$6</formula>
    </cfRule>
  </conditionalFormatting>
  <conditionalFormatting sqref="O7">
    <cfRule type="cellIs" dxfId="997" priority="38" stopIfTrue="1" operator="notEqual">
      <formula>$P$7</formula>
    </cfRule>
  </conditionalFormatting>
  <conditionalFormatting sqref="O8">
    <cfRule type="cellIs" dxfId="996" priority="37" stopIfTrue="1" operator="notEqual">
      <formula>$P$8</formula>
    </cfRule>
  </conditionalFormatting>
  <conditionalFormatting sqref="O9">
    <cfRule type="cellIs" dxfId="995" priority="36" stopIfTrue="1" operator="notEqual">
      <formula>$P$9</formula>
    </cfRule>
  </conditionalFormatting>
  <conditionalFormatting sqref="O10">
    <cfRule type="cellIs" dxfId="994" priority="34" stopIfTrue="1" operator="notEqual">
      <formula>$P$10</formula>
    </cfRule>
    <cfRule type="cellIs" dxfId="993" priority="35" stopIfTrue="1" operator="greaterThan">
      <formula>$P$10</formula>
    </cfRule>
  </conditionalFormatting>
  <conditionalFormatting sqref="O11">
    <cfRule type="cellIs" dxfId="992" priority="32" stopIfTrue="1" operator="notEqual">
      <formula>$P$11</formula>
    </cfRule>
    <cfRule type="cellIs" dxfId="991" priority="33" stopIfTrue="1" operator="greaterThan">
      <formula>$P$11</formula>
    </cfRule>
  </conditionalFormatting>
  <conditionalFormatting sqref="O12">
    <cfRule type="cellIs" dxfId="990" priority="31" stopIfTrue="1" operator="notEqual">
      <formula>$P$12</formula>
    </cfRule>
  </conditionalFormatting>
  <conditionalFormatting sqref="O14">
    <cfRule type="cellIs" dxfId="989" priority="30" stopIfTrue="1" operator="notEqual">
      <formula>$P$14</formula>
    </cfRule>
  </conditionalFormatting>
  <conditionalFormatting sqref="O15">
    <cfRule type="cellIs" dxfId="988" priority="29" stopIfTrue="1" operator="notEqual">
      <formula>$P$15</formula>
    </cfRule>
  </conditionalFormatting>
  <conditionalFormatting sqref="O16">
    <cfRule type="cellIs" dxfId="987" priority="28" stopIfTrue="1" operator="notEqual">
      <formula>$P$16</formula>
    </cfRule>
  </conditionalFormatting>
  <conditionalFormatting sqref="O17">
    <cfRule type="cellIs" dxfId="986" priority="27" stopIfTrue="1" operator="notEqual">
      <formula>$P$17</formula>
    </cfRule>
  </conditionalFormatting>
  <conditionalFormatting sqref="O18">
    <cfRule type="cellIs" dxfId="985" priority="26" stopIfTrue="1" operator="notEqual">
      <formula>$P$18</formula>
    </cfRule>
  </conditionalFormatting>
  <conditionalFormatting sqref="O19">
    <cfRule type="cellIs" dxfId="984" priority="24" stopIfTrue="1" operator="notEqual">
      <formula>$P$19</formula>
    </cfRule>
    <cfRule type="cellIs" dxfId="983" priority="25" stopIfTrue="1" operator="greaterThan">
      <formula>$P$19</formula>
    </cfRule>
  </conditionalFormatting>
  <conditionalFormatting sqref="O20">
    <cfRule type="cellIs" dxfId="982" priority="22" stopIfTrue="1" operator="notEqual">
      <formula>$P$20</formula>
    </cfRule>
    <cfRule type="cellIs" dxfId="981" priority="23" stopIfTrue="1" operator="greaterThan">
      <formula>$P$20</formula>
    </cfRule>
  </conditionalFormatting>
  <conditionalFormatting sqref="O21">
    <cfRule type="cellIs" dxfId="980" priority="21" stopIfTrue="1" operator="notEqual">
      <formula>$P$21</formula>
    </cfRule>
  </conditionalFormatting>
  <conditionalFormatting sqref="O22">
    <cfRule type="cellIs" dxfId="979" priority="20" stopIfTrue="1" operator="notEqual">
      <formula>$P$22</formula>
    </cfRule>
  </conditionalFormatting>
  <conditionalFormatting sqref="O23">
    <cfRule type="cellIs" dxfId="978" priority="19" stopIfTrue="1" operator="notEqual">
      <formula>$P$23</formula>
    </cfRule>
  </conditionalFormatting>
  <conditionalFormatting sqref="O24">
    <cfRule type="cellIs" dxfId="977" priority="17" stopIfTrue="1" operator="notEqual">
      <formula>$P$24</formula>
    </cfRule>
    <cfRule type="cellIs" dxfId="976" priority="18" stopIfTrue="1" operator="greaterThan">
      <formula>$P$24</formula>
    </cfRule>
  </conditionalFormatting>
  <conditionalFormatting sqref="O25">
    <cfRule type="cellIs" dxfId="975" priority="15" stopIfTrue="1" operator="notEqual">
      <formula>$P$25</formula>
    </cfRule>
    <cfRule type="cellIs" dxfId="974" priority="16" stopIfTrue="1" operator="greaterThan">
      <formula>$P$25</formula>
    </cfRule>
  </conditionalFormatting>
  <conditionalFormatting sqref="O26">
    <cfRule type="cellIs" dxfId="973" priority="14" stopIfTrue="1" operator="notEqual">
      <formula>$P$26</formula>
    </cfRule>
  </conditionalFormatting>
  <conditionalFormatting sqref="O27">
    <cfRule type="cellIs" dxfId="972" priority="13" stopIfTrue="1" operator="notEqual">
      <formula>$P$27</formula>
    </cfRule>
  </conditionalFormatting>
  <conditionalFormatting sqref="O28">
    <cfRule type="cellIs" dxfId="971" priority="12" stopIfTrue="1" operator="notEqual">
      <formula>$P$28</formula>
    </cfRule>
  </conditionalFormatting>
  <conditionalFormatting sqref="O29">
    <cfRule type="cellIs" dxfId="970" priority="11" stopIfTrue="1" operator="notEqual">
      <formula>$P$29</formula>
    </cfRule>
  </conditionalFormatting>
  <conditionalFormatting sqref="O30">
    <cfRule type="cellIs" dxfId="969" priority="10" stopIfTrue="1" operator="notEqual">
      <formula>$P$30</formula>
    </cfRule>
  </conditionalFormatting>
  <conditionalFormatting sqref="O31">
    <cfRule type="cellIs" dxfId="968" priority="8" stopIfTrue="1" operator="notEqual">
      <formula>$P$31</formula>
    </cfRule>
    <cfRule type="cellIs" dxfId="967" priority="9" stopIfTrue="1" operator="greaterThan">
      <formula>$P$31</formula>
    </cfRule>
  </conditionalFormatting>
  <conditionalFormatting sqref="O32">
    <cfRule type="cellIs" dxfId="966" priority="6" stopIfTrue="1" operator="notEqual">
      <formula>$P$32</formula>
    </cfRule>
    <cfRule type="cellIs" dxfId="965" priority="7" stopIfTrue="1" operator="greaterThan">
      <formula>$P$32</formula>
    </cfRule>
  </conditionalFormatting>
  <conditionalFormatting sqref="O33">
    <cfRule type="cellIs" dxfId="964" priority="5" stopIfTrue="1" operator="notEqual">
      <formula>$P$33</formula>
    </cfRule>
  </conditionalFormatting>
  <conditionalFormatting sqref="O13">
    <cfRule type="cellIs" dxfId="963" priority="4" stopIfTrue="1" operator="notEqual">
      <formula>$P$13</formula>
    </cfRule>
  </conditionalFormatting>
  <conditionalFormatting sqref="AG3:AG34">
    <cfRule type="cellIs" dxfId="962" priority="3" stopIfTrue="1" operator="notEqual">
      <formula>E3</formula>
    </cfRule>
  </conditionalFormatting>
  <conditionalFormatting sqref="AH3:AH34">
    <cfRule type="cellIs" dxfId="961" priority="2" stopIfTrue="1" operator="notBetween">
      <formula>AI3+$AG$40</formula>
      <formula>AI3-$AG$40</formula>
    </cfRule>
  </conditionalFormatting>
  <conditionalFormatting sqref="AL3:AL33">
    <cfRule type="cellIs" dxfId="96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305</v>
      </c>
      <c r="B3" s="487">
        <v>0.375</v>
      </c>
      <c r="C3" s="488">
        <v>2013</v>
      </c>
      <c r="D3" s="488">
        <v>3</v>
      </c>
      <c r="E3" s="488">
        <v>1</v>
      </c>
      <c r="F3" s="489">
        <v>144758</v>
      </c>
      <c r="G3" s="488">
        <v>0</v>
      </c>
      <c r="H3" s="489">
        <v>13795</v>
      </c>
      <c r="I3" s="488">
        <v>0</v>
      </c>
      <c r="J3" s="488">
        <v>0</v>
      </c>
      <c r="K3" s="488">
        <v>0</v>
      </c>
      <c r="L3" s="490">
        <v>0</v>
      </c>
      <c r="M3" s="489">
        <v>0</v>
      </c>
      <c r="N3" s="491">
        <v>0</v>
      </c>
      <c r="O3" s="492">
        <v>121</v>
      </c>
      <c r="P3" s="493">
        <f>F4-F3</f>
        <v>121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121</v>
      </c>
      <c r="W3" s="498">
        <f>V3*35.31467</f>
        <v>4273.0750699999999</v>
      </c>
      <c r="X3" s="497"/>
      <c r="Y3" s="499">
        <f>V3*R3/1000000</f>
        <v>1.0435910245898123</v>
      </c>
      <c r="Z3" s="500">
        <f>S3*V3/1000000</f>
        <v>4.3693069017526254</v>
      </c>
      <c r="AA3" s="501">
        <f>W3*T3/1000000</f>
        <v>4.1412921434952139</v>
      </c>
      <c r="AE3" s="598" t="str">
        <f>RIGHT(F3,6)</f>
        <v>144758</v>
      </c>
      <c r="AF3" s="486">
        <v>305</v>
      </c>
      <c r="AG3" s="491">
        <v>1</v>
      </c>
      <c r="AH3" s="599">
        <v>144758</v>
      </c>
      <c r="AI3" s="600">
        <f>IFERROR(AE3*1,0)</f>
        <v>144758</v>
      </c>
      <c r="AJ3" s="601">
        <f>(AI3-AH3)</f>
        <v>0</v>
      </c>
      <c r="AL3" s="602">
        <f>AH4-AH3</f>
        <v>120</v>
      </c>
      <c r="AM3" s="603">
        <f>AI4-AI3</f>
        <v>121</v>
      </c>
      <c r="AN3" s="604">
        <f>(AM3-AL3)</f>
        <v>1</v>
      </c>
      <c r="AO3" s="605">
        <f>IFERROR(AN3/AM3,"")</f>
        <v>8.2644628099173556E-3</v>
      </c>
    </row>
    <row r="4" spans="1:41" x14ac:dyDescent="0.2">
      <c r="A4" s="502">
        <v>305</v>
      </c>
      <c r="B4" s="503">
        <v>0.375</v>
      </c>
      <c r="C4" s="504">
        <v>2013</v>
      </c>
      <c r="D4" s="504">
        <v>3</v>
      </c>
      <c r="E4" s="504">
        <v>2</v>
      </c>
      <c r="F4" s="505">
        <v>144879</v>
      </c>
      <c r="G4" s="504">
        <v>0</v>
      </c>
      <c r="H4" s="505">
        <v>20332</v>
      </c>
      <c r="I4" s="504">
        <v>0</v>
      </c>
      <c r="J4" s="504">
        <v>0</v>
      </c>
      <c r="K4" s="504">
        <v>0</v>
      </c>
      <c r="L4" s="506">
        <v>87.388099999999994</v>
      </c>
      <c r="M4" s="505">
        <v>14.3</v>
      </c>
      <c r="N4" s="507">
        <v>0</v>
      </c>
      <c r="O4" s="508">
        <v>51</v>
      </c>
      <c r="P4" s="493">
        <f t="shared" ref="P4:P33" si="0">F5-F4</f>
        <v>51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51</v>
      </c>
      <c r="W4" s="512">
        <f>V4*35.31467</f>
        <v>1801.04817</v>
      </c>
      <c r="X4" s="497"/>
      <c r="Y4" s="513">
        <f>V4*R4/1000000</f>
        <v>0.43947536008403981</v>
      </c>
      <c r="Z4" s="510">
        <f>S4*V4/1000000</f>
        <v>1.8399954375998577</v>
      </c>
      <c r="AA4" s="511">
        <f>W4*T4/1000000</f>
        <v>1.7439742323302569</v>
      </c>
      <c r="AE4" s="598" t="str">
        <f t="shared" ref="AE4:AE34" si="3">RIGHT(F4,6)</f>
        <v>144879</v>
      </c>
      <c r="AF4" s="502">
        <v>305</v>
      </c>
      <c r="AG4" s="606">
        <v>2</v>
      </c>
      <c r="AH4" s="607">
        <v>144878</v>
      </c>
      <c r="AI4" s="608">
        <f t="shared" ref="AI4:AI34" si="4">IFERROR(AE4*1,0)</f>
        <v>144879</v>
      </c>
      <c r="AJ4" s="609">
        <f t="shared" ref="AJ4:AJ34" si="5">(AI4-AH4)</f>
        <v>1</v>
      </c>
      <c r="AL4" s="602">
        <f t="shared" ref="AL4:AM33" si="6">AH5-AH4</f>
        <v>52</v>
      </c>
      <c r="AM4" s="610">
        <f t="shared" si="6"/>
        <v>51</v>
      </c>
      <c r="AN4" s="611">
        <f t="shared" ref="AN4:AN33" si="7">(AM4-AL4)</f>
        <v>-1</v>
      </c>
      <c r="AO4" s="612">
        <f t="shared" ref="AO4:AO33" si="8">IFERROR(AN4/AM4,"")</f>
        <v>-1.9607843137254902E-2</v>
      </c>
    </row>
    <row r="5" spans="1:41" x14ac:dyDescent="0.2">
      <c r="A5" s="502">
        <v>305</v>
      </c>
      <c r="B5" s="503">
        <v>0.375</v>
      </c>
      <c r="C5" s="504">
        <v>2013</v>
      </c>
      <c r="D5" s="504">
        <v>3</v>
      </c>
      <c r="E5" s="504">
        <v>3</v>
      </c>
      <c r="F5" s="505">
        <v>144930</v>
      </c>
      <c r="G5" s="504">
        <v>0</v>
      </c>
      <c r="H5" s="505">
        <v>20339</v>
      </c>
      <c r="I5" s="504">
        <v>0</v>
      </c>
      <c r="J5" s="504">
        <v>0</v>
      </c>
      <c r="K5" s="504">
        <v>0</v>
      </c>
      <c r="L5" s="506">
        <v>88.436599999999999</v>
      </c>
      <c r="M5" s="505">
        <v>8.9</v>
      </c>
      <c r="N5" s="507">
        <v>0</v>
      </c>
      <c r="O5" s="508">
        <v>20</v>
      </c>
      <c r="P5" s="493">
        <f t="shared" si="0"/>
        <v>20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20</v>
      </c>
      <c r="W5" s="512">
        <f t="shared" ref="W5:W33" si="10">V5*35.31467</f>
        <v>706.29340000000002</v>
      </c>
      <c r="X5" s="497"/>
      <c r="Y5" s="513">
        <f t="shared" ref="Y5:Y33" si="11">V5*R5/1000000</f>
        <v>0.17280354756965127</v>
      </c>
      <c r="Z5" s="510">
        <f t="shared" ref="Z5:Z33" si="12">S5*V5/1000000</f>
        <v>0.72349389296461597</v>
      </c>
      <c r="AA5" s="511">
        <f t="shared" ref="AA5:AA33" si="13">W5*T5/1000000</f>
        <v>0.68573795390735515</v>
      </c>
      <c r="AE5" s="598" t="str">
        <f t="shared" si="3"/>
        <v>144930</v>
      </c>
      <c r="AF5" s="502">
        <v>305</v>
      </c>
      <c r="AG5" s="606">
        <v>3</v>
      </c>
      <c r="AH5" s="607">
        <v>144930</v>
      </c>
      <c r="AI5" s="608">
        <f t="shared" si="4"/>
        <v>144930</v>
      </c>
      <c r="AJ5" s="609">
        <f t="shared" si="5"/>
        <v>0</v>
      </c>
      <c r="AL5" s="602">
        <f t="shared" si="6"/>
        <v>20</v>
      </c>
      <c r="AM5" s="610">
        <f t="shared" si="6"/>
        <v>20</v>
      </c>
      <c r="AN5" s="611">
        <f t="shared" si="7"/>
        <v>0</v>
      </c>
      <c r="AO5" s="612">
        <f t="shared" si="8"/>
        <v>0</v>
      </c>
    </row>
    <row r="6" spans="1:41" x14ac:dyDescent="0.2">
      <c r="A6" s="502">
        <v>305</v>
      </c>
      <c r="B6" s="503">
        <v>0.375</v>
      </c>
      <c r="C6" s="504">
        <v>2013</v>
      </c>
      <c r="D6" s="504">
        <v>3</v>
      </c>
      <c r="E6" s="504">
        <v>4</v>
      </c>
      <c r="F6" s="505">
        <v>144950</v>
      </c>
      <c r="G6" s="504">
        <v>0</v>
      </c>
      <c r="H6" s="505">
        <v>20342</v>
      </c>
      <c r="I6" s="504">
        <v>0</v>
      </c>
      <c r="J6" s="504">
        <v>0</v>
      </c>
      <c r="K6" s="504">
        <v>0</v>
      </c>
      <c r="L6" s="506">
        <v>88.054400000000001</v>
      </c>
      <c r="M6" s="505">
        <v>12.1</v>
      </c>
      <c r="N6" s="507">
        <v>0</v>
      </c>
      <c r="O6" s="508">
        <v>413</v>
      </c>
      <c r="P6" s="493">
        <f t="shared" si="0"/>
        <v>413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413</v>
      </c>
      <c r="W6" s="512">
        <f t="shared" si="10"/>
        <v>14584.958709999999</v>
      </c>
      <c r="X6" s="497"/>
      <c r="Y6" s="513">
        <f t="shared" si="11"/>
        <v>3.5811378109509273</v>
      </c>
      <c r="Z6" s="510">
        <f t="shared" si="12"/>
        <v>14.99350778688934</v>
      </c>
      <c r="AA6" s="511">
        <f t="shared" si="13"/>
        <v>14.211063081051243</v>
      </c>
      <c r="AE6" s="598" t="str">
        <f t="shared" si="3"/>
        <v>144950</v>
      </c>
      <c r="AF6" s="502">
        <v>305</v>
      </c>
      <c r="AG6" s="606">
        <v>4</v>
      </c>
      <c r="AH6" s="607">
        <v>144950</v>
      </c>
      <c r="AI6" s="608">
        <f t="shared" si="4"/>
        <v>144950</v>
      </c>
      <c r="AJ6" s="609">
        <f t="shared" si="5"/>
        <v>0</v>
      </c>
      <c r="AL6" s="602">
        <f t="shared" si="6"/>
        <v>413</v>
      </c>
      <c r="AM6" s="610">
        <f t="shared" si="6"/>
        <v>413</v>
      </c>
      <c r="AN6" s="611">
        <f t="shared" si="7"/>
        <v>0</v>
      </c>
      <c r="AO6" s="612">
        <f t="shared" si="8"/>
        <v>0</v>
      </c>
    </row>
    <row r="7" spans="1:41" x14ac:dyDescent="0.2">
      <c r="A7" s="502">
        <v>305</v>
      </c>
      <c r="B7" s="503">
        <v>0.375</v>
      </c>
      <c r="C7" s="504">
        <v>2013</v>
      </c>
      <c r="D7" s="504">
        <v>3</v>
      </c>
      <c r="E7" s="504">
        <v>5</v>
      </c>
      <c r="F7" s="505">
        <v>145363</v>
      </c>
      <c r="G7" s="504">
        <v>0</v>
      </c>
      <c r="H7" s="505">
        <v>20401</v>
      </c>
      <c r="I7" s="504">
        <v>0</v>
      </c>
      <c r="J7" s="504">
        <v>0</v>
      </c>
      <c r="K7" s="504">
        <v>0</v>
      </c>
      <c r="L7" s="506">
        <v>86.742999999999995</v>
      </c>
      <c r="M7" s="505">
        <v>14.6</v>
      </c>
      <c r="N7" s="507">
        <v>0</v>
      </c>
      <c r="O7" s="508">
        <v>404</v>
      </c>
      <c r="P7" s="493">
        <f t="shared" si="0"/>
        <v>404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404</v>
      </c>
      <c r="W7" s="512">
        <f t="shared" si="10"/>
        <v>14267.126679999999</v>
      </c>
      <c r="X7" s="497"/>
      <c r="Y7" s="513">
        <f t="shared" si="11"/>
        <v>3.5001762358157724</v>
      </c>
      <c r="Z7" s="510">
        <f t="shared" si="12"/>
        <v>14.654537864113474</v>
      </c>
      <c r="AA7" s="511">
        <f t="shared" si="13"/>
        <v>13.88978249590631</v>
      </c>
      <c r="AE7" s="598" t="str">
        <f t="shared" si="3"/>
        <v>145363</v>
      </c>
      <c r="AF7" s="502">
        <v>305</v>
      </c>
      <c r="AG7" s="606">
        <v>5</v>
      </c>
      <c r="AH7" s="607">
        <v>145363</v>
      </c>
      <c r="AI7" s="608">
        <f t="shared" si="4"/>
        <v>145363</v>
      </c>
      <c r="AJ7" s="609">
        <f t="shared" si="5"/>
        <v>0</v>
      </c>
      <c r="AL7" s="602">
        <f t="shared" si="6"/>
        <v>405</v>
      </c>
      <c r="AM7" s="610">
        <f t="shared" si="6"/>
        <v>404</v>
      </c>
      <c r="AN7" s="611">
        <f t="shared" si="7"/>
        <v>-1</v>
      </c>
      <c r="AO7" s="612">
        <f t="shared" si="8"/>
        <v>-2.4752475247524753E-3</v>
      </c>
    </row>
    <row r="8" spans="1:41" x14ac:dyDescent="0.2">
      <c r="A8" s="502">
        <v>305</v>
      </c>
      <c r="B8" s="503">
        <v>0.375</v>
      </c>
      <c r="C8" s="504">
        <v>2013</v>
      </c>
      <c r="D8" s="504">
        <v>3</v>
      </c>
      <c r="E8" s="504">
        <v>6</v>
      </c>
      <c r="F8" s="505">
        <v>145767</v>
      </c>
      <c r="G8" s="504">
        <v>0</v>
      </c>
      <c r="H8" s="505">
        <v>20458</v>
      </c>
      <c r="I8" s="504">
        <v>0</v>
      </c>
      <c r="J8" s="504">
        <v>0</v>
      </c>
      <c r="K8" s="504">
        <v>0</v>
      </c>
      <c r="L8" s="506">
        <v>86.915599999999998</v>
      </c>
      <c r="M8" s="505">
        <v>16.899999999999999</v>
      </c>
      <c r="N8" s="507">
        <v>0</v>
      </c>
      <c r="O8" s="508">
        <v>520</v>
      </c>
      <c r="P8" s="493">
        <f t="shared" si="0"/>
        <v>520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520</v>
      </c>
      <c r="W8" s="512">
        <f t="shared" si="10"/>
        <v>18363.628400000001</v>
      </c>
      <c r="X8" s="497"/>
      <c r="Y8" s="513">
        <f t="shared" si="11"/>
        <v>4.5121702728014794</v>
      </c>
      <c r="Z8" s="510">
        <f t="shared" si="12"/>
        <v>18.891554498165235</v>
      </c>
      <c r="AA8" s="511">
        <f t="shared" si="13"/>
        <v>17.905688014335041</v>
      </c>
      <c r="AE8" s="598" t="str">
        <f t="shared" si="3"/>
        <v>145767</v>
      </c>
      <c r="AF8" s="502">
        <v>305</v>
      </c>
      <c r="AG8" s="606">
        <v>6</v>
      </c>
      <c r="AH8" s="607">
        <v>145768</v>
      </c>
      <c r="AI8" s="608">
        <f t="shared" si="4"/>
        <v>145767</v>
      </c>
      <c r="AJ8" s="609">
        <f t="shared" si="5"/>
        <v>-1</v>
      </c>
      <c r="AL8" s="602">
        <f t="shared" si="6"/>
        <v>521</v>
      </c>
      <c r="AM8" s="610">
        <f t="shared" si="6"/>
        <v>520</v>
      </c>
      <c r="AN8" s="611">
        <f t="shared" si="7"/>
        <v>-1</v>
      </c>
      <c r="AO8" s="612">
        <f t="shared" si="8"/>
        <v>-1.9230769230769232E-3</v>
      </c>
    </row>
    <row r="9" spans="1:41" x14ac:dyDescent="0.2">
      <c r="A9" s="502">
        <v>305</v>
      </c>
      <c r="B9" s="503">
        <v>0.375</v>
      </c>
      <c r="C9" s="504">
        <v>2013</v>
      </c>
      <c r="D9" s="504">
        <v>3</v>
      </c>
      <c r="E9" s="504">
        <v>7</v>
      </c>
      <c r="F9" s="505">
        <v>146287</v>
      </c>
      <c r="G9" s="504">
        <v>0</v>
      </c>
      <c r="H9" s="505">
        <v>20532</v>
      </c>
      <c r="I9" s="504">
        <v>0</v>
      </c>
      <c r="J9" s="504">
        <v>0</v>
      </c>
      <c r="K9" s="504">
        <v>0</v>
      </c>
      <c r="L9" s="506">
        <v>86.891900000000007</v>
      </c>
      <c r="M9" s="505">
        <v>18.399999999999999</v>
      </c>
      <c r="N9" s="507">
        <v>0</v>
      </c>
      <c r="O9" s="508">
        <v>529</v>
      </c>
      <c r="P9" s="493">
        <f t="shared" si="0"/>
        <v>529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529</v>
      </c>
      <c r="W9" s="512">
        <f t="shared" si="10"/>
        <v>18681.460429999999</v>
      </c>
      <c r="X9" s="497"/>
      <c r="Y9" s="513">
        <f t="shared" si="11"/>
        <v>4.5939541517570666</v>
      </c>
      <c r="Z9" s="510">
        <f t="shared" si="12"/>
        <v>19.233967242576483</v>
      </c>
      <c r="AA9" s="511">
        <f t="shared" si="13"/>
        <v>18.23023175551608</v>
      </c>
      <c r="AE9" s="598" t="str">
        <f t="shared" si="3"/>
        <v>146287</v>
      </c>
      <c r="AF9" s="502">
        <v>305</v>
      </c>
      <c r="AG9" s="606">
        <v>7</v>
      </c>
      <c r="AH9" s="607">
        <v>146289</v>
      </c>
      <c r="AI9" s="608">
        <f t="shared" si="4"/>
        <v>146287</v>
      </c>
      <c r="AJ9" s="609">
        <f t="shared" si="5"/>
        <v>-2</v>
      </c>
      <c r="AL9" s="602">
        <f t="shared" si="6"/>
        <v>528</v>
      </c>
      <c r="AM9" s="610">
        <f t="shared" si="6"/>
        <v>529</v>
      </c>
      <c r="AN9" s="611">
        <f t="shared" si="7"/>
        <v>1</v>
      </c>
      <c r="AO9" s="612">
        <f t="shared" si="8"/>
        <v>1.890359168241966E-3</v>
      </c>
    </row>
    <row r="10" spans="1:41" x14ac:dyDescent="0.2">
      <c r="A10" s="502">
        <v>305</v>
      </c>
      <c r="B10" s="503">
        <v>0.375</v>
      </c>
      <c r="C10" s="504">
        <v>2013</v>
      </c>
      <c r="D10" s="504">
        <v>3</v>
      </c>
      <c r="E10" s="504">
        <v>8</v>
      </c>
      <c r="F10" s="505">
        <v>146816</v>
      </c>
      <c r="G10" s="504">
        <v>0</v>
      </c>
      <c r="H10" s="505">
        <v>20607</v>
      </c>
      <c r="I10" s="504">
        <v>0</v>
      </c>
      <c r="J10" s="504">
        <v>0</v>
      </c>
      <c r="K10" s="504">
        <v>0</v>
      </c>
      <c r="L10" s="506">
        <v>87.007999999999996</v>
      </c>
      <c r="M10" s="505">
        <v>19.7</v>
      </c>
      <c r="N10" s="507">
        <v>0</v>
      </c>
      <c r="O10" s="508">
        <v>267</v>
      </c>
      <c r="P10" s="493">
        <f t="shared" si="0"/>
        <v>267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267</v>
      </c>
      <c r="W10" s="512">
        <f t="shared" si="10"/>
        <v>9429.0168900000008</v>
      </c>
      <c r="X10" s="497"/>
      <c r="Y10" s="513">
        <f t="shared" si="11"/>
        <v>2.3176688395052958</v>
      </c>
      <c r="Z10" s="510">
        <f t="shared" si="12"/>
        <v>9.7036158972407716</v>
      </c>
      <c r="AA10" s="511">
        <f t="shared" si="13"/>
        <v>9.1972271992656704</v>
      </c>
      <c r="AE10" s="598" t="str">
        <f t="shared" si="3"/>
        <v>146816</v>
      </c>
      <c r="AF10" s="502">
        <v>305</v>
      </c>
      <c r="AG10" s="606">
        <v>8</v>
      </c>
      <c r="AH10" s="607">
        <v>146817</v>
      </c>
      <c r="AI10" s="608">
        <f t="shared" si="4"/>
        <v>146816</v>
      </c>
      <c r="AJ10" s="609">
        <f t="shared" si="5"/>
        <v>-1</v>
      </c>
      <c r="AL10" s="602">
        <f t="shared" si="6"/>
        <v>266</v>
      </c>
      <c r="AM10" s="610">
        <f t="shared" si="6"/>
        <v>267</v>
      </c>
      <c r="AN10" s="611">
        <f t="shared" si="7"/>
        <v>1</v>
      </c>
      <c r="AO10" s="612">
        <f t="shared" si="8"/>
        <v>3.7453183520599251E-3</v>
      </c>
    </row>
    <row r="11" spans="1:41" x14ac:dyDescent="0.2">
      <c r="A11" s="502">
        <v>305</v>
      </c>
      <c r="B11" s="503">
        <v>0.375</v>
      </c>
      <c r="C11" s="504">
        <v>2013</v>
      </c>
      <c r="D11" s="504">
        <v>3</v>
      </c>
      <c r="E11" s="504">
        <v>9</v>
      </c>
      <c r="F11" s="505">
        <v>147083</v>
      </c>
      <c r="G11" s="504">
        <v>0</v>
      </c>
      <c r="H11" s="505">
        <v>20645</v>
      </c>
      <c r="I11" s="504">
        <v>0</v>
      </c>
      <c r="J11" s="504">
        <v>0</v>
      </c>
      <c r="K11" s="504">
        <v>0</v>
      </c>
      <c r="L11" s="506">
        <v>87.251199999999997</v>
      </c>
      <c r="M11" s="505">
        <v>19.600000000000001</v>
      </c>
      <c r="N11" s="507">
        <v>0</v>
      </c>
      <c r="O11" s="508">
        <v>217</v>
      </c>
      <c r="P11" s="493">
        <f t="shared" si="0"/>
        <v>217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217</v>
      </c>
      <c r="W11" s="515">
        <f t="shared" si="10"/>
        <v>7663.2833899999996</v>
      </c>
      <c r="Y11" s="513">
        <f t="shared" si="11"/>
        <v>1.8849917200089157</v>
      </c>
      <c r="Z11" s="510">
        <f t="shared" si="12"/>
        <v>7.8920833333333285</v>
      </c>
      <c r="AA11" s="511">
        <f t="shared" si="13"/>
        <v>7.4802304894244855</v>
      </c>
      <c r="AE11" s="598" t="str">
        <f t="shared" si="3"/>
        <v>147083</v>
      </c>
      <c r="AF11" s="502">
        <v>305</v>
      </c>
      <c r="AG11" s="606">
        <v>9</v>
      </c>
      <c r="AH11" s="607">
        <v>147083</v>
      </c>
      <c r="AI11" s="608">
        <f t="shared" si="4"/>
        <v>147083</v>
      </c>
      <c r="AJ11" s="609">
        <f t="shared" si="5"/>
        <v>0</v>
      </c>
      <c r="AL11" s="602">
        <f t="shared" si="6"/>
        <v>217</v>
      </c>
      <c r="AM11" s="610">
        <f t="shared" si="6"/>
        <v>217</v>
      </c>
      <c r="AN11" s="611">
        <f t="shared" si="7"/>
        <v>0</v>
      </c>
      <c r="AO11" s="612">
        <f t="shared" si="8"/>
        <v>0</v>
      </c>
    </row>
    <row r="12" spans="1:41" x14ac:dyDescent="0.2">
      <c r="A12" s="502">
        <v>305</v>
      </c>
      <c r="B12" s="503">
        <v>0.375</v>
      </c>
      <c r="C12" s="504">
        <v>2013</v>
      </c>
      <c r="D12" s="504">
        <v>3</v>
      </c>
      <c r="E12" s="504">
        <v>10</v>
      </c>
      <c r="F12" s="505">
        <v>147300</v>
      </c>
      <c r="G12" s="504">
        <v>0</v>
      </c>
      <c r="H12" s="505">
        <v>20675</v>
      </c>
      <c r="I12" s="504">
        <v>0</v>
      </c>
      <c r="J12" s="504">
        <v>0</v>
      </c>
      <c r="K12" s="504">
        <v>0</v>
      </c>
      <c r="L12" s="506">
        <v>88.136499999999998</v>
      </c>
      <c r="M12" s="505">
        <v>20.3</v>
      </c>
      <c r="N12" s="507">
        <v>0</v>
      </c>
      <c r="O12" s="508">
        <v>246</v>
      </c>
      <c r="P12" s="493">
        <f t="shared" si="0"/>
        <v>246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246</v>
      </c>
      <c r="W12" s="515">
        <f t="shared" si="10"/>
        <v>8687.4088200000006</v>
      </c>
      <c r="Y12" s="513">
        <f t="shared" si="11"/>
        <v>2.1399280809939469</v>
      </c>
      <c r="Z12" s="510">
        <f t="shared" si="12"/>
        <v>8.9594508895054599</v>
      </c>
      <c r="AA12" s="511">
        <f t="shared" si="13"/>
        <v>8.4918968644333592</v>
      </c>
      <c r="AE12" s="598" t="str">
        <f t="shared" si="3"/>
        <v>147300</v>
      </c>
      <c r="AF12" s="502">
        <v>305</v>
      </c>
      <c r="AG12" s="606">
        <v>10</v>
      </c>
      <c r="AH12" s="607">
        <v>147300</v>
      </c>
      <c r="AI12" s="608">
        <f t="shared" si="4"/>
        <v>147300</v>
      </c>
      <c r="AJ12" s="609">
        <f t="shared" si="5"/>
        <v>0</v>
      </c>
      <c r="AL12" s="602">
        <f t="shared" si="6"/>
        <v>248</v>
      </c>
      <c r="AM12" s="610">
        <f t="shared" si="6"/>
        <v>246</v>
      </c>
      <c r="AN12" s="611">
        <f t="shared" si="7"/>
        <v>-2</v>
      </c>
      <c r="AO12" s="612">
        <f t="shared" si="8"/>
        <v>-8.130081300813009E-3</v>
      </c>
    </row>
    <row r="13" spans="1:41" x14ac:dyDescent="0.2">
      <c r="A13" s="502">
        <v>305</v>
      </c>
      <c r="B13" s="503">
        <v>0.375</v>
      </c>
      <c r="C13" s="504">
        <v>2013</v>
      </c>
      <c r="D13" s="504">
        <v>3</v>
      </c>
      <c r="E13" s="504">
        <v>11</v>
      </c>
      <c r="F13" s="505">
        <v>147546</v>
      </c>
      <c r="G13" s="504">
        <v>0</v>
      </c>
      <c r="H13" s="505">
        <v>20710</v>
      </c>
      <c r="I13" s="504">
        <v>0</v>
      </c>
      <c r="J13" s="504">
        <v>0</v>
      </c>
      <c r="K13" s="504">
        <v>0</v>
      </c>
      <c r="L13" s="506">
        <v>87.590400000000002</v>
      </c>
      <c r="M13" s="505">
        <v>20.3</v>
      </c>
      <c r="N13" s="507">
        <v>0</v>
      </c>
      <c r="O13" s="508">
        <v>483</v>
      </c>
      <c r="P13" s="493">
        <f t="shared" si="0"/>
        <v>483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483</v>
      </c>
      <c r="W13" s="515">
        <f t="shared" si="10"/>
        <v>17056.98561</v>
      </c>
      <c r="Y13" s="513">
        <f t="shared" si="11"/>
        <v>4.1942896020439902</v>
      </c>
      <c r="Z13" s="510">
        <f t="shared" si="12"/>
        <v>17.560651705837774</v>
      </c>
      <c r="AA13" s="511">
        <f t="shared" si="13"/>
        <v>16.644239138905689</v>
      </c>
      <c r="AE13" s="598" t="str">
        <f t="shared" si="3"/>
        <v>147546</v>
      </c>
      <c r="AF13" s="502">
        <v>305</v>
      </c>
      <c r="AG13" s="606">
        <v>11</v>
      </c>
      <c r="AH13" s="607">
        <v>147548</v>
      </c>
      <c r="AI13" s="608">
        <f t="shared" si="4"/>
        <v>147546</v>
      </c>
      <c r="AJ13" s="609">
        <f t="shared" si="5"/>
        <v>-2</v>
      </c>
      <c r="AL13" s="602">
        <f t="shared" si="6"/>
        <v>482</v>
      </c>
      <c r="AM13" s="610">
        <f t="shared" si="6"/>
        <v>483</v>
      </c>
      <c r="AN13" s="611">
        <f t="shared" si="7"/>
        <v>1</v>
      </c>
      <c r="AO13" s="612">
        <f t="shared" si="8"/>
        <v>2.070393374741201E-3</v>
      </c>
    </row>
    <row r="14" spans="1:41" x14ac:dyDescent="0.2">
      <c r="A14" s="502">
        <v>305</v>
      </c>
      <c r="B14" s="503">
        <v>0.375</v>
      </c>
      <c r="C14" s="504">
        <v>2013</v>
      </c>
      <c r="D14" s="504">
        <v>3</v>
      </c>
      <c r="E14" s="504">
        <v>12</v>
      </c>
      <c r="F14" s="505">
        <v>148029</v>
      </c>
      <c r="G14" s="504">
        <v>0</v>
      </c>
      <c r="H14" s="505">
        <v>20780</v>
      </c>
      <c r="I14" s="504">
        <v>0</v>
      </c>
      <c r="J14" s="504">
        <v>0</v>
      </c>
      <c r="K14" s="504">
        <v>0</v>
      </c>
      <c r="L14" s="506">
        <v>86.97</v>
      </c>
      <c r="M14" s="505">
        <v>17.7</v>
      </c>
      <c r="N14" s="507">
        <v>0</v>
      </c>
      <c r="O14" s="508">
        <v>294</v>
      </c>
      <c r="P14" s="493">
        <f t="shared" si="0"/>
        <v>294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294</v>
      </c>
      <c r="W14" s="515">
        <f t="shared" si="10"/>
        <v>10382.51298</v>
      </c>
      <c r="Y14" s="513">
        <f t="shared" si="11"/>
        <v>2.5541431859530501</v>
      </c>
      <c r="Z14" s="510">
        <f t="shared" si="12"/>
        <v>10.693686690948228</v>
      </c>
      <c r="AA14" s="511">
        <f t="shared" si="13"/>
        <v>10.135630587189757</v>
      </c>
      <c r="AE14" s="598" t="str">
        <f t="shared" si="3"/>
        <v>148029</v>
      </c>
      <c r="AF14" s="502">
        <v>305</v>
      </c>
      <c r="AG14" s="606">
        <v>12</v>
      </c>
      <c r="AH14" s="607">
        <v>148030</v>
      </c>
      <c r="AI14" s="608">
        <f t="shared" si="4"/>
        <v>148029</v>
      </c>
      <c r="AJ14" s="609">
        <f t="shared" si="5"/>
        <v>-1</v>
      </c>
      <c r="AL14" s="602">
        <f t="shared" si="6"/>
        <v>296</v>
      </c>
      <c r="AM14" s="610">
        <f t="shared" si="6"/>
        <v>294</v>
      </c>
      <c r="AN14" s="611">
        <f t="shared" si="7"/>
        <v>-2</v>
      </c>
      <c r="AO14" s="612">
        <f t="shared" si="8"/>
        <v>-6.8027210884353739E-3</v>
      </c>
    </row>
    <row r="15" spans="1:41" x14ac:dyDescent="0.2">
      <c r="A15" s="502">
        <v>305</v>
      </c>
      <c r="B15" s="503">
        <v>0.375</v>
      </c>
      <c r="C15" s="504">
        <v>2013</v>
      </c>
      <c r="D15" s="504">
        <v>3</v>
      </c>
      <c r="E15" s="504">
        <v>13</v>
      </c>
      <c r="F15" s="505">
        <v>148323</v>
      </c>
      <c r="G15" s="504">
        <v>0</v>
      </c>
      <c r="H15" s="505">
        <v>20823</v>
      </c>
      <c r="I15" s="504">
        <v>0</v>
      </c>
      <c r="J15" s="504">
        <v>0</v>
      </c>
      <c r="K15" s="504">
        <v>0</v>
      </c>
      <c r="L15" s="506">
        <v>87.034400000000005</v>
      </c>
      <c r="M15" s="505">
        <v>18.5</v>
      </c>
      <c r="N15" s="507">
        <v>0</v>
      </c>
      <c r="O15" s="508">
        <v>296</v>
      </c>
      <c r="P15" s="493">
        <f t="shared" si="0"/>
        <v>296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296</v>
      </c>
      <c r="W15" s="515">
        <f t="shared" si="10"/>
        <v>10453.142319999999</v>
      </c>
      <c r="Y15" s="513">
        <f t="shared" si="11"/>
        <v>2.5654136126789524</v>
      </c>
      <c r="Z15" s="510">
        <f t="shared" si="12"/>
        <v>10.740873713564238</v>
      </c>
      <c r="AA15" s="511">
        <f t="shared" si="13"/>
        <v>10.180355128273428</v>
      </c>
      <c r="AE15" s="598" t="str">
        <f t="shared" si="3"/>
        <v>148323</v>
      </c>
      <c r="AF15" s="502">
        <v>305</v>
      </c>
      <c r="AG15" s="606">
        <v>13</v>
      </c>
      <c r="AH15" s="607">
        <v>148326</v>
      </c>
      <c r="AI15" s="608">
        <f t="shared" si="4"/>
        <v>148323</v>
      </c>
      <c r="AJ15" s="609">
        <f t="shared" si="5"/>
        <v>-3</v>
      </c>
      <c r="AL15" s="602">
        <f t="shared" si="6"/>
        <v>294</v>
      </c>
      <c r="AM15" s="610">
        <f t="shared" si="6"/>
        <v>296</v>
      </c>
      <c r="AN15" s="611">
        <f t="shared" si="7"/>
        <v>2</v>
      </c>
      <c r="AO15" s="612">
        <f t="shared" si="8"/>
        <v>6.7567567567567571E-3</v>
      </c>
    </row>
    <row r="16" spans="1:41" x14ac:dyDescent="0.2">
      <c r="A16" s="502">
        <v>305</v>
      </c>
      <c r="B16" s="503">
        <v>0.375</v>
      </c>
      <c r="C16" s="504">
        <v>2013</v>
      </c>
      <c r="D16" s="504">
        <v>3</v>
      </c>
      <c r="E16" s="504">
        <v>14</v>
      </c>
      <c r="F16" s="505">
        <v>148619</v>
      </c>
      <c r="G16" s="504">
        <v>0</v>
      </c>
      <c r="H16" s="505">
        <v>20865</v>
      </c>
      <c r="I16" s="504">
        <v>0</v>
      </c>
      <c r="J16" s="504">
        <v>0</v>
      </c>
      <c r="K16" s="504">
        <v>0</v>
      </c>
      <c r="L16" s="506">
        <v>87.108400000000003</v>
      </c>
      <c r="M16" s="505">
        <v>15.3</v>
      </c>
      <c r="N16" s="507">
        <v>0</v>
      </c>
      <c r="O16" s="508">
        <v>339</v>
      </c>
      <c r="P16" s="493">
        <f t="shared" si="0"/>
        <v>339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339</v>
      </c>
      <c r="W16" s="515">
        <f t="shared" si="10"/>
        <v>11971.673129999999</v>
      </c>
      <c r="Y16" s="513">
        <f t="shared" si="11"/>
        <v>2.9304837117238201</v>
      </c>
      <c r="Z16" s="510">
        <f t="shared" si="12"/>
        <v>12.269349204245287</v>
      </c>
      <c r="AA16" s="511">
        <f t="shared" si="13"/>
        <v>11.629066258760366</v>
      </c>
      <c r="AE16" s="598" t="str">
        <f t="shared" si="3"/>
        <v>148619</v>
      </c>
      <c r="AF16" s="502">
        <v>305</v>
      </c>
      <c r="AG16" s="606">
        <v>14</v>
      </c>
      <c r="AH16" s="607">
        <v>148620</v>
      </c>
      <c r="AI16" s="608">
        <f t="shared" si="4"/>
        <v>148619</v>
      </c>
      <c r="AJ16" s="609">
        <f t="shared" si="5"/>
        <v>-1</v>
      </c>
      <c r="AL16" s="602">
        <f t="shared" si="6"/>
        <v>340</v>
      </c>
      <c r="AM16" s="610">
        <f t="shared" si="6"/>
        <v>339</v>
      </c>
      <c r="AN16" s="611">
        <f t="shared" si="7"/>
        <v>-1</v>
      </c>
      <c r="AO16" s="612">
        <f t="shared" si="8"/>
        <v>-2.9498525073746312E-3</v>
      </c>
    </row>
    <row r="17" spans="1:41" x14ac:dyDescent="0.2">
      <c r="A17" s="502">
        <v>305</v>
      </c>
      <c r="B17" s="503">
        <v>0.375</v>
      </c>
      <c r="C17" s="504">
        <v>2013</v>
      </c>
      <c r="D17" s="504">
        <v>3</v>
      </c>
      <c r="E17" s="504">
        <v>15</v>
      </c>
      <c r="F17" s="505">
        <v>148958</v>
      </c>
      <c r="G17" s="504">
        <v>0</v>
      </c>
      <c r="H17" s="505">
        <v>20913</v>
      </c>
      <c r="I17" s="504">
        <v>0</v>
      </c>
      <c r="J17" s="504">
        <v>0</v>
      </c>
      <c r="K17" s="504">
        <v>0</v>
      </c>
      <c r="L17" s="506">
        <v>87.099000000000004</v>
      </c>
      <c r="M17" s="505">
        <v>14.5</v>
      </c>
      <c r="N17" s="507">
        <v>0</v>
      </c>
      <c r="O17" s="508">
        <v>282</v>
      </c>
      <c r="P17" s="493">
        <f t="shared" si="0"/>
        <v>282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282</v>
      </c>
      <c r="W17" s="515">
        <f t="shared" si="10"/>
        <v>9958.7369400000007</v>
      </c>
      <c r="Y17" s="513">
        <f t="shared" si="11"/>
        <v>2.4683131210445697</v>
      </c>
      <c r="Z17" s="510">
        <f t="shared" si="12"/>
        <v>10.334333375189406</v>
      </c>
      <c r="AA17" s="511">
        <f t="shared" si="13"/>
        <v>9.795030327982964</v>
      </c>
      <c r="AE17" s="598" t="str">
        <f t="shared" si="3"/>
        <v>148958</v>
      </c>
      <c r="AF17" s="502">
        <v>305</v>
      </c>
      <c r="AG17" s="606">
        <v>15</v>
      </c>
      <c r="AH17" s="607">
        <v>148960</v>
      </c>
      <c r="AI17" s="608">
        <f t="shared" si="4"/>
        <v>148958</v>
      </c>
      <c r="AJ17" s="609">
        <f t="shared" si="5"/>
        <v>-2</v>
      </c>
      <c r="AL17" s="602">
        <f t="shared" si="6"/>
        <v>281</v>
      </c>
      <c r="AM17" s="610">
        <f t="shared" si="6"/>
        <v>282</v>
      </c>
      <c r="AN17" s="611">
        <f t="shared" si="7"/>
        <v>1</v>
      </c>
      <c r="AO17" s="612">
        <f t="shared" si="8"/>
        <v>3.5460992907801418E-3</v>
      </c>
    </row>
    <row r="18" spans="1:41" x14ac:dyDescent="0.2">
      <c r="A18" s="502">
        <v>305</v>
      </c>
      <c r="B18" s="503">
        <v>0.375</v>
      </c>
      <c r="C18" s="504">
        <v>2013</v>
      </c>
      <c r="D18" s="504">
        <v>3</v>
      </c>
      <c r="E18" s="504">
        <v>16</v>
      </c>
      <c r="F18" s="505">
        <v>149240</v>
      </c>
      <c r="G18" s="504">
        <v>0</v>
      </c>
      <c r="H18" s="505">
        <v>20953</v>
      </c>
      <c r="I18" s="504">
        <v>0</v>
      </c>
      <c r="J18" s="504">
        <v>0</v>
      </c>
      <c r="K18" s="504">
        <v>0</v>
      </c>
      <c r="L18" s="506">
        <v>87.318200000000004</v>
      </c>
      <c r="M18" s="505">
        <v>12.9</v>
      </c>
      <c r="N18" s="507">
        <v>0</v>
      </c>
      <c r="O18" s="508">
        <v>164</v>
      </c>
      <c r="P18" s="493">
        <f t="shared" si="0"/>
        <v>164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164</v>
      </c>
      <c r="W18" s="515">
        <f t="shared" si="10"/>
        <v>5791.6058800000001</v>
      </c>
      <c r="Y18" s="513">
        <f t="shared" si="11"/>
        <v>1.4354728789053526</v>
      </c>
      <c r="Z18" s="510">
        <f t="shared" si="12"/>
        <v>6.0100378494009297</v>
      </c>
      <c r="AA18" s="511">
        <f t="shared" si="13"/>
        <v>5.6964006162737801</v>
      </c>
      <c r="AE18" s="598" t="str">
        <f t="shared" si="3"/>
        <v>149240</v>
      </c>
      <c r="AF18" s="502">
        <v>305</v>
      </c>
      <c r="AG18" s="606">
        <v>16</v>
      </c>
      <c r="AH18" s="607">
        <v>149241</v>
      </c>
      <c r="AI18" s="608">
        <f t="shared" si="4"/>
        <v>149240</v>
      </c>
      <c r="AJ18" s="609">
        <f t="shared" si="5"/>
        <v>-1</v>
      </c>
      <c r="AL18" s="602">
        <f t="shared" si="6"/>
        <v>163</v>
      </c>
      <c r="AM18" s="610">
        <f t="shared" si="6"/>
        <v>164</v>
      </c>
      <c r="AN18" s="611">
        <f t="shared" si="7"/>
        <v>1</v>
      </c>
      <c r="AO18" s="612">
        <f t="shared" si="8"/>
        <v>6.0975609756097563E-3</v>
      </c>
    </row>
    <row r="19" spans="1:41" x14ac:dyDescent="0.2">
      <c r="A19" s="502">
        <v>305</v>
      </c>
      <c r="B19" s="503">
        <v>0.375</v>
      </c>
      <c r="C19" s="504">
        <v>2013</v>
      </c>
      <c r="D19" s="504">
        <v>3</v>
      </c>
      <c r="E19" s="504">
        <v>17</v>
      </c>
      <c r="F19" s="505">
        <v>149404</v>
      </c>
      <c r="G19" s="504">
        <v>0</v>
      </c>
      <c r="H19" s="505">
        <v>20976</v>
      </c>
      <c r="I19" s="504">
        <v>0</v>
      </c>
      <c r="J19" s="504">
        <v>0</v>
      </c>
      <c r="K19" s="504">
        <v>0</v>
      </c>
      <c r="L19" s="506">
        <v>88.8001</v>
      </c>
      <c r="M19" s="505">
        <v>12</v>
      </c>
      <c r="N19" s="507">
        <v>0</v>
      </c>
      <c r="O19" s="508">
        <v>70</v>
      </c>
      <c r="P19" s="493">
        <f t="shared" si="0"/>
        <v>70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70</v>
      </c>
      <c r="W19" s="515">
        <f t="shared" si="10"/>
        <v>2472.0268999999998</v>
      </c>
      <c r="Y19" s="513">
        <f t="shared" si="11"/>
        <v>0.61270183855716265</v>
      </c>
      <c r="Z19" s="510">
        <f t="shared" si="12"/>
        <v>2.5652600576711286</v>
      </c>
      <c r="AA19" s="511">
        <f t="shared" si="13"/>
        <v>2.4313905069461255</v>
      </c>
      <c r="AE19" s="598" t="str">
        <f t="shared" si="3"/>
        <v>149404</v>
      </c>
      <c r="AF19" s="502">
        <v>305</v>
      </c>
      <c r="AG19" s="606">
        <v>17</v>
      </c>
      <c r="AH19" s="607">
        <v>149404</v>
      </c>
      <c r="AI19" s="608">
        <f t="shared" si="4"/>
        <v>149404</v>
      </c>
      <c r="AJ19" s="609">
        <f t="shared" si="5"/>
        <v>0</v>
      </c>
      <c r="AL19" s="602">
        <f t="shared" si="6"/>
        <v>69</v>
      </c>
      <c r="AM19" s="610">
        <f t="shared" si="6"/>
        <v>70</v>
      </c>
      <c r="AN19" s="611">
        <f t="shared" si="7"/>
        <v>1</v>
      </c>
      <c r="AO19" s="612">
        <f t="shared" si="8"/>
        <v>1.4285714285714285E-2</v>
      </c>
    </row>
    <row r="20" spans="1:41" x14ac:dyDescent="0.2">
      <c r="A20" s="502">
        <v>305</v>
      </c>
      <c r="B20" s="503">
        <v>0.375</v>
      </c>
      <c r="C20" s="504">
        <v>2013</v>
      </c>
      <c r="D20" s="504">
        <v>3</v>
      </c>
      <c r="E20" s="504">
        <v>18</v>
      </c>
      <c r="F20" s="505">
        <v>149474</v>
      </c>
      <c r="G20" s="504">
        <v>0</v>
      </c>
      <c r="H20" s="505">
        <v>20986</v>
      </c>
      <c r="I20" s="504">
        <v>0</v>
      </c>
      <c r="J20" s="504">
        <v>0</v>
      </c>
      <c r="K20" s="504">
        <v>0</v>
      </c>
      <c r="L20" s="506">
        <v>88.732699999999994</v>
      </c>
      <c r="M20" s="505">
        <v>17.5</v>
      </c>
      <c r="N20" s="507">
        <v>0</v>
      </c>
      <c r="O20" s="508">
        <v>188</v>
      </c>
      <c r="P20" s="493">
        <f t="shared" si="0"/>
        <v>188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188</v>
      </c>
      <c r="W20" s="515">
        <f t="shared" si="10"/>
        <v>6639.1579599999995</v>
      </c>
      <c r="Y20" s="513">
        <f t="shared" si="11"/>
        <v>1.6455420806963799</v>
      </c>
      <c r="Z20" s="510">
        <f t="shared" si="12"/>
        <v>6.8895555834596029</v>
      </c>
      <c r="AA20" s="511">
        <f t="shared" si="13"/>
        <v>6.5300202186553085</v>
      </c>
      <c r="AE20" s="598" t="str">
        <f t="shared" si="3"/>
        <v>149474</v>
      </c>
      <c r="AF20" s="502">
        <v>305</v>
      </c>
      <c r="AG20" s="606">
        <v>18</v>
      </c>
      <c r="AH20" s="607">
        <v>149473</v>
      </c>
      <c r="AI20" s="608">
        <f t="shared" si="4"/>
        <v>149474</v>
      </c>
      <c r="AJ20" s="609">
        <f t="shared" si="5"/>
        <v>1</v>
      </c>
      <c r="AL20" s="602">
        <f t="shared" si="6"/>
        <v>192</v>
      </c>
      <c r="AM20" s="610">
        <f t="shared" si="6"/>
        <v>188</v>
      </c>
      <c r="AN20" s="611">
        <f t="shared" si="7"/>
        <v>-4</v>
      </c>
      <c r="AO20" s="612">
        <f t="shared" si="8"/>
        <v>-2.1276595744680851E-2</v>
      </c>
    </row>
    <row r="21" spans="1:41" x14ac:dyDescent="0.2">
      <c r="A21" s="502">
        <v>305</v>
      </c>
      <c r="B21" s="503">
        <v>0.375</v>
      </c>
      <c r="C21" s="504">
        <v>2013</v>
      </c>
      <c r="D21" s="504">
        <v>3</v>
      </c>
      <c r="E21" s="504">
        <v>19</v>
      </c>
      <c r="F21" s="505">
        <v>149662</v>
      </c>
      <c r="G21" s="504">
        <v>0</v>
      </c>
      <c r="H21" s="505">
        <v>21012</v>
      </c>
      <c r="I21" s="504">
        <v>0</v>
      </c>
      <c r="J21" s="504">
        <v>0</v>
      </c>
      <c r="K21" s="504">
        <v>0</v>
      </c>
      <c r="L21" s="506">
        <v>88.025000000000006</v>
      </c>
      <c r="M21" s="505">
        <v>19.8</v>
      </c>
      <c r="N21" s="507">
        <v>0</v>
      </c>
      <c r="O21" s="508">
        <v>429</v>
      </c>
      <c r="P21" s="493">
        <f t="shared" si="0"/>
        <v>429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429</v>
      </c>
      <c r="W21" s="515">
        <f t="shared" si="10"/>
        <v>15149.99343</v>
      </c>
      <c r="Y21" s="513">
        <f t="shared" si="11"/>
        <v>3.7549869820146116</v>
      </c>
      <c r="Z21" s="510">
        <f t="shared" si="12"/>
        <v>15.721379496298775</v>
      </c>
      <c r="AA21" s="511">
        <f t="shared" si="13"/>
        <v>14.900950392569829</v>
      </c>
      <c r="AE21" s="598" t="str">
        <f t="shared" si="3"/>
        <v>149662</v>
      </c>
      <c r="AF21" s="502">
        <v>305</v>
      </c>
      <c r="AG21" s="606">
        <v>19</v>
      </c>
      <c r="AH21" s="607">
        <v>149665</v>
      </c>
      <c r="AI21" s="608">
        <f t="shared" si="4"/>
        <v>149662</v>
      </c>
      <c r="AJ21" s="609">
        <f t="shared" si="5"/>
        <v>-3</v>
      </c>
      <c r="AL21" s="602">
        <f t="shared" si="6"/>
        <v>427</v>
      </c>
      <c r="AM21" s="610">
        <f t="shared" si="6"/>
        <v>429</v>
      </c>
      <c r="AN21" s="611">
        <f t="shared" si="7"/>
        <v>2</v>
      </c>
      <c r="AO21" s="612">
        <f t="shared" si="8"/>
        <v>4.662004662004662E-3</v>
      </c>
    </row>
    <row r="22" spans="1:41" x14ac:dyDescent="0.2">
      <c r="A22" s="502">
        <v>305</v>
      </c>
      <c r="B22" s="503">
        <v>0.375</v>
      </c>
      <c r="C22" s="504">
        <v>2013</v>
      </c>
      <c r="D22" s="504">
        <v>3</v>
      </c>
      <c r="E22" s="504">
        <v>20</v>
      </c>
      <c r="F22" s="505">
        <v>150091</v>
      </c>
      <c r="G22" s="504">
        <v>0</v>
      </c>
      <c r="H22" s="505">
        <v>21074</v>
      </c>
      <c r="I22" s="504">
        <v>0</v>
      </c>
      <c r="J22" s="504">
        <v>0</v>
      </c>
      <c r="K22" s="504">
        <v>0</v>
      </c>
      <c r="L22" s="506">
        <v>87.072299999999998</v>
      </c>
      <c r="M22" s="505">
        <v>20.2</v>
      </c>
      <c r="N22" s="507">
        <v>0</v>
      </c>
      <c r="O22" s="508">
        <v>254</v>
      </c>
      <c r="P22" s="493">
        <f t="shared" si="0"/>
        <v>254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254</v>
      </c>
      <c r="W22" s="515">
        <f t="shared" si="10"/>
        <v>8969.9261800000004</v>
      </c>
      <c r="Y22" s="513">
        <f t="shared" si="11"/>
        <v>2.2232323856217047</v>
      </c>
      <c r="Z22" s="510">
        <f t="shared" si="12"/>
        <v>9.3082293521209518</v>
      </c>
      <c r="AA22" s="511">
        <f t="shared" si="13"/>
        <v>8.8224741252045149</v>
      </c>
      <c r="AE22" s="598" t="str">
        <f t="shared" si="3"/>
        <v>150091</v>
      </c>
      <c r="AF22" s="502">
        <v>305</v>
      </c>
      <c r="AG22" s="606">
        <v>20</v>
      </c>
      <c r="AH22" s="607">
        <v>150092</v>
      </c>
      <c r="AI22" s="608">
        <f t="shared" si="4"/>
        <v>150091</v>
      </c>
      <c r="AJ22" s="609">
        <f t="shared" si="5"/>
        <v>-1</v>
      </c>
      <c r="AL22" s="602">
        <f t="shared" si="6"/>
        <v>254</v>
      </c>
      <c r="AM22" s="610">
        <f t="shared" si="6"/>
        <v>254</v>
      </c>
      <c r="AN22" s="611">
        <f t="shared" si="7"/>
        <v>0</v>
      </c>
      <c r="AO22" s="612">
        <f t="shared" si="8"/>
        <v>0</v>
      </c>
    </row>
    <row r="23" spans="1:41" x14ac:dyDescent="0.2">
      <c r="A23" s="502">
        <v>305</v>
      </c>
      <c r="B23" s="503">
        <v>0.375</v>
      </c>
      <c r="C23" s="504">
        <v>2013</v>
      </c>
      <c r="D23" s="504">
        <v>3</v>
      </c>
      <c r="E23" s="504">
        <v>21</v>
      </c>
      <c r="F23" s="505">
        <v>150345</v>
      </c>
      <c r="G23" s="504">
        <v>0</v>
      </c>
      <c r="H23" s="505">
        <v>21110</v>
      </c>
      <c r="I23" s="504">
        <v>0</v>
      </c>
      <c r="J23" s="504">
        <v>0</v>
      </c>
      <c r="K23" s="504">
        <v>0</v>
      </c>
      <c r="L23" s="506">
        <v>86.871300000000005</v>
      </c>
      <c r="M23" s="505">
        <v>20.2</v>
      </c>
      <c r="N23" s="507">
        <v>0</v>
      </c>
      <c r="O23" s="508">
        <v>430</v>
      </c>
      <c r="P23" s="493">
        <f t="shared" si="0"/>
        <v>430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430</v>
      </c>
      <c r="W23" s="515">
        <f t="shared" si="10"/>
        <v>15185.3081</v>
      </c>
      <c r="Y23" s="513">
        <f t="shared" si="11"/>
        <v>3.7637398654225711</v>
      </c>
      <c r="Z23" s="510">
        <f t="shared" si="12"/>
        <v>15.758026068551221</v>
      </c>
      <c r="AA23" s="511">
        <f t="shared" si="13"/>
        <v>14.93568454266906</v>
      </c>
      <c r="AE23" s="598" t="str">
        <f t="shared" si="3"/>
        <v>150345</v>
      </c>
      <c r="AF23" s="502">
        <v>305</v>
      </c>
      <c r="AG23" s="606">
        <v>21</v>
      </c>
      <c r="AH23" s="607">
        <v>150346</v>
      </c>
      <c r="AI23" s="608">
        <f t="shared" si="4"/>
        <v>150345</v>
      </c>
      <c r="AJ23" s="609">
        <f t="shared" si="5"/>
        <v>-1</v>
      </c>
      <c r="AL23" s="602">
        <f t="shared" si="6"/>
        <v>431</v>
      </c>
      <c r="AM23" s="610">
        <f t="shared" si="6"/>
        <v>430</v>
      </c>
      <c r="AN23" s="611">
        <f t="shared" si="7"/>
        <v>-1</v>
      </c>
      <c r="AO23" s="612">
        <f t="shared" si="8"/>
        <v>-2.3255813953488372E-3</v>
      </c>
    </row>
    <row r="24" spans="1:41" x14ac:dyDescent="0.2">
      <c r="A24" s="502">
        <v>305</v>
      </c>
      <c r="B24" s="503">
        <v>0.375</v>
      </c>
      <c r="C24" s="504">
        <v>2013</v>
      </c>
      <c r="D24" s="504">
        <v>3</v>
      </c>
      <c r="E24" s="504">
        <v>22</v>
      </c>
      <c r="F24" s="505">
        <v>150775</v>
      </c>
      <c r="G24" s="504">
        <v>0</v>
      </c>
      <c r="H24" s="505">
        <v>21171</v>
      </c>
      <c r="I24" s="504">
        <v>0</v>
      </c>
      <c r="J24" s="504">
        <v>0</v>
      </c>
      <c r="K24" s="504">
        <v>0</v>
      </c>
      <c r="L24" s="506">
        <v>86.810900000000004</v>
      </c>
      <c r="M24" s="505">
        <v>21.1</v>
      </c>
      <c r="N24" s="507">
        <v>0</v>
      </c>
      <c r="O24" s="508">
        <v>177</v>
      </c>
      <c r="P24" s="493">
        <f t="shared" si="0"/>
        <v>177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177</v>
      </c>
      <c r="W24" s="515">
        <f t="shared" si="10"/>
        <v>6250.6965899999996</v>
      </c>
      <c r="Y24" s="513">
        <f t="shared" si="11"/>
        <v>1.5492603632088258</v>
      </c>
      <c r="Z24" s="510">
        <f t="shared" si="12"/>
        <v>6.486443288682711</v>
      </c>
      <c r="AA24" s="511">
        <f t="shared" si="13"/>
        <v>6.1479445675637754</v>
      </c>
      <c r="AE24" s="598" t="str">
        <f t="shared" si="3"/>
        <v>150775</v>
      </c>
      <c r="AF24" s="502">
        <v>305</v>
      </c>
      <c r="AG24" s="606">
        <v>22</v>
      </c>
      <c r="AH24" s="607">
        <v>150777</v>
      </c>
      <c r="AI24" s="608">
        <f t="shared" si="4"/>
        <v>150775</v>
      </c>
      <c r="AJ24" s="609">
        <f t="shared" si="5"/>
        <v>-2</v>
      </c>
      <c r="AL24" s="602">
        <f t="shared" si="6"/>
        <v>176</v>
      </c>
      <c r="AM24" s="610">
        <f t="shared" si="6"/>
        <v>177</v>
      </c>
      <c r="AN24" s="611">
        <f t="shared" si="7"/>
        <v>1</v>
      </c>
      <c r="AO24" s="612">
        <f t="shared" si="8"/>
        <v>5.6497175141242938E-3</v>
      </c>
    </row>
    <row r="25" spans="1:41" x14ac:dyDescent="0.2">
      <c r="A25" s="502">
        <v>305</v>
      </c>
      <c r="B25" s="503">
        <v>0.375</v>
      </c>
      <c r="C25" s="504">
        <v>2013</v>
      </c>
      <c r="D25" s="504">
        <v>3</v>
      </c>
      <c r="E25" s="504">
        <v>23</v>
      </c>
      <c r="F25" s="505">
        <v>150952</v>
      </c>
      <c r="G25" s="504">
        <v>0</v>
      </c>
      <c r="H25" s="505">
        <v>21197</v>
      </c>
      <c r="I25" s="504">
        <v>0</v>
      </c>
      <c r="J25" s="504">
        <v>0</v>
      </c>
      <c r="K25" s="504">
        <v>0</v>
      </c>
      <c r="L25" s="506">
        <v>87.102400000000003</v>
      </c>
      <c r="M25" s="505">
        <v>20.100000000000001</v>
      </c>
      <c r="N25" s="507">
        <v>0</v>
      </c>
      <c r="O25" s="508">
        <v>109</v>
      </c>
      <c r="P25" s="493">
        <f t="shared" si="0"/>
        <v>109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109</v>
      </c>
      <c r="W25" s="515">
        <f t="shared" si="10"/>
        <v>3849.2990300000001</v>
      </c>
      <c r="Y25" s="513">
        <f t="shared" si="11"/>
        <v>0.95406429146758187</v>
      </c>
      <c r="Z25" s="510">
        <f t="shared" si="12"/>
        <v>3.9944763755164718</v>
      </c>
      <c r="AA25" s="511">
        <f t="shared" si="13"/>
        <v>3.7860223608161103</v>
      </c>
      <c r="AE25" s="598" t="str">
        <f t="shared" si="3"/>
        <v>150952</v>
      </c>
      <c r="AF25" s="502">
        <v>305</v>
      </c>
      <c r="AG25" s="606">
        <v>23</v>
      </c>
      <c r="AH25" s="607">
        <v>150953</v>
      </c>
      <c r="AI25" s="608">
        <f t="shared" si="4"/>
        <v>150952</v>
      </c>
      <c r="AJ25" s="609">
        <f t="shared" si="5"/>
        <v>-1</v>
      </c>
      <c r="AL25" s="602">
        <f t="shared" si="6"/>
        <v>108</v>
      </c>
      <c r="AM25" s="610">
        <f t="shared" si="6"/>
        <v>109</v>
      </c>
      <c r="AN25" s="611">
        <f t="shared" si="7"/>
        <v>1</v>
      </c>
      <c r="AO25" s="612">
        <f t="shared" si="8"/>
        <v>9.1743119266055051E-3</v>
      </c>
    </row>
    <row r="26" spans="1:41" x14ac:dyDescent="0.2">
      <c r="A26" s="502">
        <v>305</v>
      </c>
      <c r="B26" s="503">
        <v>0.375</v>
      </c>
      <c r="C26" s="504">
        <v>2013</v>
      </c>
      <c r="D26" s="504">
        <v>3</v>
      </c>
      <c r="E26" s="504">
        <v>24</v>
      </c>
      <c r="F26" s="505">
        <v>151061</v>
      </c>
      <c r="G26" s="504">
        <v>0</v>
      </c>
      <c r="H26" s="505">
        <v>21213</v>
      </c>
      <c r="I26" s="504">
        <v>0</v>
      </c>
      <c r="J26" s="504">
        <v>0</v>
      </c>
      <c r="K26" s="504">
        <v>0</v>
      </c>
      <c r="L26" s="506">
        <v>87.859399999999994</v>
      </c>
      <c r="M26" s="505">
        <v>20.6</v>
      </c>
      <c r="N26" s="507">
        <v>0</v>
      </c>
      <c r="O26" s="508">
        <v>64</v>
      </c>
      <c r="P26" s="493">
        <f t="shared" si="0"/>
        <v>64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64</v>
      </c>
      <c r="W26" s="515">
        <f t="shared" si="10"/>
        <v>2260.13888</v>
      </c>
      <c r="Y26" s="513">
        <f t="shared" si="11"/>
        <v>0.56018453810940594</v>
      </c>
      <c r="Z26" s="510">
        <f t="shared" si="12"/>
        <v>2.3453806241564608</v>
      </c>
      <c r="AA26" s="511">
        <f t="shared" si="13"/>
        <v>2.2229856063507438</v>
      </c>
      <c r="AE26" s="598" t="str">
        <f t="shared" si="3"/>
        <v>151061</v>
      </c>
      <c r="AF26" s="502">
        <v>305</v>
      </c>
      <c r="AG26" s="606">
        <v>24</v>
      </c>
      <c r="AH26" s="607">
        <v>151061</v>
      </c>
      <c r="AI26" s="608">
        <f t="shared" si="4"/>
        <v>151061</v>
      </c>
      <c r="AJ26" s="609">
        <f t="shared" si="5"/>
        <v>0</v>
      </c>
      <c r="AL26" s="602">
        <f t="shared" si="6"/>
        <v>66</v>
      </c>
      <c r="AM26" s="610">
        <f t="shared" si="6"/>
        <v>64</v>
      </c>
      <c r="AN26" s="611">
        <f t="shared" si="7"/>
        <v>-2</v>
      </c>
      <c r="AO26" s="612">
        <f t="shared" si="8"/>
        <v>-3.125E-2</v>
      </c>
    </row>
    <row r="27" spans="1:41" x14ac:dyDescent="0.2">
      <c r="A27" s="502">
        <v>305</v>
      </c>
      <c r="B27" s="503">
        <v>0.375</v>
      </c>
      <c r="C27" s="504">
        <v>2013</v>
      </c>
      <c r="D27" s="504">
        <v>3</v>
      </c>
      <c r="E27" s="504">
        <v>25</v>
      </c>
      <c r="F27" s="505">
        <v>151125</v>
      </c>
      <c r="G27" s="504">
        <v>0</v>
      </c>
      <c r="H27" s="505">
        <v>21222</v>
      </c>
      <c r="I27" s="504">
        <v>0</v>
      </c>
      <c r="J27" s="504">
        <v>0</v>
      </c>
      <c r="K27" s="504">
        <v>0</v>
      </c>
      <c r="L27" s="506">
        <v>87.421999999999997</v>
      </c>
      <c r="M27" s="505">
        <v>20</v>
      </c>
      <c r="N27" s="507">
        <v>0</v>
      </c>
      <c r="O27" s="508">
        <v>279</v>
      </c>
      <c r="P27" s="493">
        <f t="shared" si="0"/>
        <v>279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279</v>
      </c>
      <c r="W27" s="515">
        <f t="shared" si="10"/>
        <v>9852.7929299999996</v>
      </c>
      <c r="Y27" s="513">
        <f t="shared" si="11"/>
        <v>2.4420544708206915</v>
      </c>
      <c r="Z27" s="510">
        <f t="shared" si="12"/>
        <v>10.224393658432071</v>
      </c>
      <c r="AA27" s="511">
        <f t="shared" si="13"/>
        <v>9.6908278776852725</v>
      </c>
      <c r="AE27" s="598" t="str">
        <f t="shared" si="3"/>
        <v>151125</v>
      </c>
      <c r="AF27" s="502">
        <v>305</v>
      </c>
      <c r="AG27" s="606">
        <v>25</v>
      </c>
      <c r="AH27" s="607">
        <v>151127</v>
      </c>
      <c r="AI27" s="608">
        <f t="shared" si="4"/>
        <v>151125</v>
      </c>
      <c r="AJ27" s="609">
        <f t="shared" si="5"/>
        <v>-2</v>
      </c>
      <c r="AL27" s="602">
        <f t="shared" si="6"/>
        <v>277</v>
      </c>
      <c r="AM27" s="610">
        <f t="shared" si="6"/>
        <v>279</v>
      </c>
      <c r="AN27" s="611">
        <f t="shared" si="7"/>
        <v>2</v>
      </c>
      <c r="AO27" s="612">
        <f t="shared" si="8"/>
        <v>7.1684587813620072E-3</v>
      </c>
    </row>
    <row r="28" spans="1:41" x14ac:dyDescent="0.2">
      <c r="A28" s="502">
        <v>305</v>
      </c>
      <c r="B28" s="503">
        <v>0.375</v>
      </c>
      <c r="C28" s="504">
        <v>2013</v>
      </c>
      <c r="D28" s="504">
        <v>3</v>
      </c>
      <c r="E28" s="504">
        <v>26</v>
      </c>
      <c r="F28" s="505">
        <v>151404</v>
      </c>
      <c r="G28" s="504">
        <v>0</v>
      </c>
      <c r="H28" s="505">
        <v>21262</v>
      </c>
      <c r="I28" s="504">
        <v>0</v>
      </c>
      <c r="J28" s="504">
        <v>0</v>
      </c>
      <c r="K28" s="504">
        <v>0</v>
      </c>
      <c r="L28" s="506">
        <v>86.883399999999995</v>
      </c>
      <c r="M28" s="505">
        <v>18.399999999999999</v>
      </c>
      <c r="N28" s="507">
        <v>0</v>
      </c>
      <c r="O28" s="508">
        <v>250</v>
      </c>
      <c r="P28" s="493">
        <f t="shared" si="0"/>
        <v>250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250</v>
      </c>
      <c r="W28" s="515">
        <f t="shared" si="10"/>
        <v>8828.6674999999996</v>
      </c>
      <c r="Y28" s="513">
        <f t="shared" si="11"/>
        <v>2.1882208519898665</v>
      </c>
      <c r="Z28" s="510">
        <f t="shared" si="12"/>
        <v>9.1616430631111747</v>
      </c>
      <c r="AA28" s="511">
        <f t="shared" si="13"/>
        <v>8.6835375248075906</v>
      </c>
      <c r="AE28" s="598" t="str">
        <f t="shared" si="3"/>
        <v>151404</v>
      </c>
      <c r="AF28" s="502">
        <v>305</v>
      </c>
      <c r="AG28" s="606">
        <v>26</v>
      </c>
      <c r="AH28" s="607">
        <v>151404</v>
      </c>
      <c r="AI28" s="608">
        <f t="shared" si="4"/>
        <v>151404</v>
      </c>
      <c r="AJ28" s="609">
        <f t="shared" si="5"/>
        <v>0</v>
      </c>
      <c r="AL28" s="602">
        <f t="shared" si="6"/>
        <v>253</v>
      </c>
      <c r="AM28" s="610">
        <f t="shared" si="6"/>
        <v>250</v>
      </c>
      <c r="AN28" s="611">
        <f t="shared" si="7"/>
        <v>-3</v>
      </c>
      <c r="AO28" s="612">
        <f t="shared" si="8"/>
        <v>-1.2E-2</v>
      </c>
    </row>
    <row r="29" spans="1:41" x14ac:dyDescent="0.2">
      <c r="A29" s="502">
        <v>305</v>
      </c>
      <c r="B29" s="503">
        <v>0.375</v>
      </c>
      <c r="C29" s="504">
        <v>2013</v>
      </c>
      <c r="D29" s="504">
        <v>3</v>
      </c>
      <c r="E29" s="504">
        <v>27</v>
      </c>
      <c r="F29" s="505">
        <v>151654</v>
      </c>
      <c r="G29" s="504">
        <v>0</v>
      </c>
      <c r="H29" s="505">
        <v>21298</v>
      </c>
      <c r="I29" s="504">
        <v>0</v>
      </c>
      <c r="J29" s="504">
        <v>0</v>
      </c>
      <c r="K29" s="504">
        <v>0</v>
      </c>
      <c r="L29" s="506">
        <v>87.133600000000001</v>
      </c>
      <c r="M29" s="505">
        <v>15.5</v>
      </c>
      <c r="N29" s="507">
        <v>0</v>
      </c>
      <c r="O29" s="508">
        <v>231</v>
      </c>
      <c r="P29" s="493">
        <f t="shared" si="0"/>
        <v>231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231</v>
      </c>
      <c r="W29" s="515">
        <f t="shared" si="10"/>
        <v>8157.6887699999997</v>
      </c>
      <c r="Y29" s="513">
        <f t="shared" si="11"/>
        <v>2.0219160672386369</v>
      </c>
      <c r="Z29" s="510">
        <f t="shared" si="12"/>
        <v>8.4653581903147259</v>
      </c>
      <c r="AA29" s="511">
        <f t="shared" si="13"/>
        <v>8.0235886729222159</v>
      </c>
      <c r="AE29" s="598" t="str">
        <f t="shared" si="3"/>
        <v>151654</v>
      </c>
      <c r="AF29" s="502">
        <v>305</v>
      </c>
      <c r="AG29" s="606">
        <v>27</v>
      </c>
      <c r="AH29" s="607">
        <v>151657</v>
      </c>
      <c r="AI29" s="608">
        <f t="shared" si="4"/>
        <v>151654</v>
      </c>
      <c r="AJ29" s="609">
        <f t="shared" si="5"/>
        <v>-3</v>
      </c>
      <c r="AL29" s="602">
        <f t="shared" si="6"/>
        <v>227</v>
      </c>
      <c r="AM29" s="610">
        <f t="shared" si="6"/>
        <v>231</v>
      </c>
      <c r="AN29" s="611">
        <f t="shared" si="7"/>
        <v>4</v>
      </c>
      <c r="AO29" s="612">
        <f t="shared" si="8"/>
        <v>1.7316017316017316E-2</v>
      </c>
    </row>
    <row r="30" spans="1:41" x14ac:dyDescent="0.2">
      <c r="A30" s="502">
        <v>305</v>
      </c>
      <c r="B30" s="503">
        <v>0.375</v>
      </c>
      <c r="C30" s="504">
        <v>2013</v>
      </c>
      <c r="D30" s="504">
        <v>3</v>
      </c>
      <c r="E30" s="504">
        <v>28</v>
      </c>
      <c r="F30" s="505">
        <v>151885</v>
      </c>
      <c r="G30" s="504">
        <v>0</v>
      </c>
      <c r="H30" s="505">
        <v>21331</v>
      </c>
      <c r="I30" s="504">
        <v>0</v>
      </c>
      <c r="J30" s="504">
        <v>0</v>
      </c>
      <c r="K30" s="504">
        <v>0</v>
      </c>
      <c r="L30" s="506">
        <v>87.823899999999995</v>
      </c>
      <c r="M30" s="505">
        <v>19.399999999999999</v>
      </c>
      <c r="N30" s="507">
        <v>0</v>
      </c>
      <c r="O30" s="508">
        <v>5</v>
      </c>
      <c r="P30" s="493">
        <f t="shared" si="0"/>
        <v>5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5</v>
      </c>
      <c r="W30" s="515">
        <f t="shared" si="10"/>
        <v>176.57335</v>
      </c>
      <c r="Y30" s="513">
        <f t="shared" si="11"/>
        <v>4.3764417039797339E-2</v>
      </c>
      <c r="Z30" s="510">
        <f t="shared" si="12"/>
        <v>0.18323286126222349</v>
      </c>
      <c r="AA30" s="511">
        <f t="shared" si="13"/>
        <v>0.17367075049615185</v>
      </c>
      <c r="AE30" s="598" t="str">
        <f t="shared" si="3"/>
        <v>151885</v>
      </c>
      <c r="AF30" s="502">
        <v>305</v>
      </c>
      <c r="AG30" s="606">
        <v>28</v>
      </c>
      <c r="AH30" s="607">
        <v>151884</v>
      </c>
      <c r="AI30" s="608">
        <f t="shared" si="4"/>
        <v>151885</v>
      </c>
      <c r="AJ30" s="609">
        <f t="shared" si="5"/>
        <v>1</v>
      </c>
      <c r="AL30" s="602">
        <f t="shared" si="6"/>
        <v>6</v>
      </c>
      <c r="AM30" s="610">
        <f t="shared" si="6"/>
        <v>5</v>
      </c>
      <c r="AN30" s="611">
        <f t="shared" si="7"/>
        <v>-1</v>
      </c>
      <c r="AO30" s="612">
        <f t="shared" si="8"/>
        <v>-0.2</v>
      </c>
    </row>
    <row r="31" spans="1:41" x14ac:dyDescent="0.2">
      <c r="A31" s="502">
        <v>305</v>
      </c>
      <c r="B31" s="503">
        <v>0.375</v>
      </c>
      <c r="C31" s="504">
        <v>2013</v>
      </c>
      <c r="D31" s="504">
        <v>3</v>
      </c>
      <c r="E31" s="504">
        <v>29</v>
      </c>
      <c r="F31" s="505">
        <v>151890</v>
      </c>
      <c r="G31" s="504">
        <v>0</v>
      </c>
      <c r="H31" s="505">
        <v>21332</v>
      </c>
      <c r="I31" s="504">
        <v>0</v>
      </c>
      <c r="J31" s="504">
        <v>0</v>
      </c>
      <c r="K31" s="504">
        <v>0</v>
      </c>
      <c r="L31" s="506">
        <v>89.151399999999995</v>
      </c>
      <c r="M31" s="505">
        <v>19.399999999999999</v>
      </c>
      <c r="N31" s="507">
        <v>0</v>
      </c>
      <c r="O31" s="508">
        <v>3</v>
      </c>
      <c r="P31" s="493">
        <f t="shared" si="0"/>
        <v>3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3</v>
      </c>
      <c r="W31" s="515">
        <f t="shared" si="10"/>
        <v>105.94400999999999</v>
      </c>
      <c r="Y31" s="513">
        <f t="shared" si="11"/>
        <v>2.62586502238784E-2</v>
      </c>
      <c r="Z31" s="510">
        <f t="shared" si="12"/>
        <v>0.1099397167573341</v>
      </c>
      <c r="AA31" s="511">
        <f t="shared" si="13"/>
        <v>0.1042024502976911</v>
      </c>
      <c r="AE31" s="598" t="str">
        <f t="shared" si="3"/>
        <v>151890</v>
      </c>
      <c r="AF31" s="502">
        <v>305</v>
      </c>
      <c r="AG31" s="606">
        <v>29</v>
      </c>
      <c r="AH31" s="607">
        <v>151890</v>
      </c>
      <c r="AI31" s="608">
        <f t="shared" si="4"/>
        <v>151890</v>
      </c>
      <c r="AJ31" s="609">
        <f t="shared" si="5"/>
        <v>0</v>
      </c>
      <c r="AL31" s="602">
        <f t="shared" si="6"/>
        <v>2</v>
      </c>
      <c r="AM31" s="610">
        <f t="shared" si="6"/>
        <v>3</v>
      </c>
      <c r="AN31" s="611">
        <f t="shared" si="7"/>
        <v>1</v>
      </c>
      <c r="AO31" s="612">
        <f t="shared" si="8"/>
        <v>0.33333333333333331</v>
      </c>
    </row>
    <row r="32" spans="1:41" x14ac:dyDescent="0.2">
      <c r="A32" s="502">
        <v>305</v>
      </c>
      <c r="B32" s="503">
        <v>0.375</v>
      </c>
      <c r="C32" s="504">
        <v>2013</v>
      </c>
      <c r="D32" s="504">
        <v>3</v>
      </c>
      <c r="E32" s="504">
        <v>30</v>
      </c>
      <c r="F32" s="505">
        <v>151893</v>
      </c>
      <c r="G32" s="504">
        <v>0</v>
      </c>
      <c r="H32" s="505">
        <v>21332</v>
      </c>
      <c r="I32" s="504">
        <v>0</v>
      </c>
      <c r="J32" s="504">
        <v>0</v>
      </c>
      <c r="K32" s="504">
        <v>0</v>
      </c>
      <c r="L32" s="506">
        <v>92.232399999999998</v>
      </c>
      <c r="M32" s="505">
        <v>21.3</v>
      </c>
      <c r="N32" s="507">
        <v>0</v>
      </c>
      <c r="O32" s="508">
        <v>5</v>
      </c>
      <c r="P32" s="493">
        <f t="shared" si="0"/>
        <v>5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5</v>
      </c>
      <c r="W32" s="515">
        <f t="shared" si="10"/>
        <v>176.57335</v>
      </c>
      <c r="Y32" s="513">
        <f t="shared" si="11"/>
        <v>4.3764417039797339E-2</v>
      </c>
      <c r="Z32" s="510">
        <f t="shared" si="12"/>
        <v>0.18323286126222349</v>
      </c>
      <c r="AA32" s="511">
        <f t="shared" si="13"/>
        <v>0.17367075049615185</v>
      </c>
      <c r="AE32" s="598" t="str">
        <f t="shared" si="3"/>
        <v>151893</v>
      </c>
      <c r="AF32" s="502">
        <v>305</v>
      </c>
      <c r="AG32" s="606">
        <v>30</v>
      </c>
      <c r="AH32" s="607">
        <v>151892</v>
      </c>
      <c r="AI32" s="608">
        <f t="shared" si="4"/>
        <v>151893</v>
      </c>
      <c r="AJ32" s="609">
        <f t="shared" si="5"/>
        <v>1</v>
      </c>
      <c r="AL32" s="602">
        <f t="shared" si="6"/>
        <v>6</v>
      </c>
      <c r="AM32" s="610">
        <f t="shared" si="6"/>
        <v>5</v>
      </c>
      <c r="AN32" s="611">
        <f t="shared" si="7"/>
        <v>-1</v>
      </c>
      <c r="AO32" s="612">
        <f t="shared" si="8"/>
        <v>-0.2</v>
      </c>
    </row>
    <row r="33" spans="1:41" ht="13.5" thickBot="1" x14ac:dyDescent="0.25">
      <c r="A33" s="502">
        <v>305</v>
      </c>
      <c r="B33" s="503">
        <v>0.375</v>
      </c>
      <c r="C33" s="504">
        <v>2013</v>
      </c>
      <c r="D33" s="504">
        <v>3</v>
      </c>
      <c r="E33" s="504">
        <v>31</v>
      </c>
      <c r="F33" s="505">
        <v>151898</v>
      </c>
      <c r="G33" s="504">
        <v>0</v>
      </c>
      <c r="H33" s="505">
        <v>21333</v>
      </c>
      <c r="I33" s="504">
        <v>0</v>
      </c>
      <c r="J33" s="504">
        <v>0</v>
      </c>
      <c r="K33" s="504">
        <v>0</v>
      </c>
      <c r="L33" s="506">
        <v>91.709699999999998</v>
      </c>
      <c r="M33" s="505">
        <v>21.6</v>
      </c>
      <c r="N33" s="507">
        <v>0</v>
      </c>
      <c r="O33" s="508">
        <v>24</v>
      </c>
      <c r="P33" s="493">
        <f t="shared" si="0"/>
        <v>24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24</v>
      </c>
      <c r="W33" s="519">
        <f t="shared" si="10"/>
        <v>847.55207999999993</v>
      </c>
      <c r="Y33" s="513">
        <f t="shared" si="11"/>
        <v>0.2100692017910272</v>
      </c>
      <c r="Z33" s="510">
        <f t="shared" si="12"/>
        <v>0.87951773405867284</v>
      </c>
      <c r="AA33" s="511">
        <f t="shared" si="13"/>
        <v>0.83361960238152877</v>
      </c>
      <c r="AE33" s="598" t="str">
        <f t="shared" si="3"/>
        <v>151898</v>
      </c>
      <c r="AF33" s="502">
        <v>305</v>
      </c>
      <c r="AG33" s="606">
        <v>31</v>
      </c>
      <c r="AH33" s="607">
        <v>151898</v>
      </c>
      <c r="AI33" s="608">
        <f t="shared" si="4"/>
        <v>151898</v>
      </c>
      <c r="AJ33" s="609">
        <f t="shared" si="5"/>
        <v>0</v>
      </c>
      <c r="AL33" s="602">
        <f t="shared" si="6"/>
        <v>26</v>
      </c>
      <c r="AM33" s="613">
        <f t="shared" si="6"/>
        <v>24</v>
      </c>
      <c r="AN33" s="611">
        <f t="shared" si="7"/>
        <v>-2</v>
      </c>
      <c r="AO33" s="612">
        <f t="shared" si="8"/>
        <v>-8.3333333333333329E-2</v>
      </c>
    </row>
    <row r="34" spans="1:41" ht="13.5" thickBot="1" x14ac:dyDescent="0.25">
      <c r="A34" s="148">
        <v>305</v>
      </c>
      <c r="B34" s="520">
        <v>0.375</v>
      </c>
      <c r="C34" s="146">
        <v>2013</v>
      </c>
      <c r="D34" s="146">
        <v>4</v>
      </c>
      <c r="E34" s="146">
        <v>1</v>
      </c>
      <c r="F34" s="521">
        <v>151922</v>
      </c>
      <c r="G34" s="146">
        <v>0</v>
      </c>
      <c r="H34" s="521">
        <v>21336</v>
      </c>
      <c r="I34" s="146">
        <v>0</v>
      </c>
      <c r="J34" s="146">
        <v>0</v>
      </c>
      <c r="K34" s="146">
        <v>0</v>
      </c>
      <c r="L34" s="522">
        <v>88.678399999999996</v>
      </c>
      <c r="M34" s="521">
        <v>21.9</v>
      </c>
      <c r="N34" s="523">
        <v>0</v>
      </c>
      <c r="O34" s="524">
        <v>112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151922</v>
      </c>
      <c r="AF34" s="148">
        <v>305</v>
      </c>
      <c r="AG34" s="614">
        <v>1</v>
      </c>
      <c r="AH34" s="615">
        <v>151924</v>
      </c>
      <c r="AI34" s="616">
        <f t="shared" si="4"/>
        <v>151922</v>
      </c>
      <c r="AJ34" s="617">
        <f t="shared" si="5"/>
        <v>-2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92.232399999999998</v>
      </c>
      <c r="M36" s="535">
        <f>MAX(M3:M34)</f>
        <v>21.9</v>
      </c>
      <c r="N36" s="533" t="s">
        <v>68</v>
      </c>
      <c r="O36" s="535">
        <f>SUM(O3:O33)</f>
        <v>7164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7164</v>
      </c>
      <c r="W36" s="539">
        <f>SUM(W3:W33)</f>
        <v>252994.29588000002</v>
      </c>
      <c r="Y36" s="540">
        <f>SUM(Y3:Y33)</f>
        <v>62.37377357766858</v>
      </c>
      <c r="Z36" s="541">
        <f>SUM(Z3:Z33)</f>
        <v>261.1465152149828</v>
      </c>
      <c r="AA36" s="542">
        <f>SUM(AA3:AA33)</f>
        <v>247.518436236913</v>
      </c>
      <c r="AF36" s="621" t="s">
        <v>208</v>
      </c>
      <c r="AG36" s="534">
        <f>COUNT(AG3:AG34)</f>
        <v>32</v>
      </c>
      <c r="AJ36" s="622">
        <f>SUM(AJ3:AJ33)</f>
        <v>-23</v>
      </c>
      <c r="AK36" s="623" t="s">
        <v>176</v>
      </c>
      <c r="AL36" s="624"/>
      <c r="AM36" s="624"/>
      <c r="AN36" s="622">
        <f>SUM(AN3:AN33)</f>
        <v>-2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85.070456249999992</v>
      </c>
      <c r="M37" s="543">
        <f>AVERAGE(M3:M34)</f>
        <v>17.28125</v>
      </c>
      <c r="N37" s="533" t="s">
        <v>172</v>
      </c>
      <c r="O37" s="544">
        <f>O36*35.31467</f>
        <v>252994.29587999999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>
        <f>IFERROR(AN36/SUM(AM3:AM33),"")</f>
        <v>-2.7917364600781687E-4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93.577501874999996</v>
      </c>
      <c r="M44" s="551">
        <f>M37*(1+$L$43)</f>
        <v>19.009375000000002</v>
      </c>
    </row>
    <row r="45" spans="1:41" x14ac:dyDescent="0.2">
      <c r="K45" s="550" t="s">
        <v>186</v>
      </c>
      <c r="L45" s="551">
        <f>L37*(1-$L$43)</f>
        <v>76.563410624999989</v>
      </c>
      <c r="M45" s="551">
        <f>M37*(1-$L$43)</f>
        <v>15.553125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959" priority="47" stopIfTrue="1" operator="lessThan">
      <formula>$L$45</formula>
    </cfRule>
    <cfRule type="cellIs" dxfId="958" priority="48" stopIfTrue="1" operator="greaterThan">
      <formula>$L$44</formula>
    </cfRule>
  </conditionalFormatting>
  <conditionalFormatting sqref="M3:M34">
    <cfRule type="cellIs" dxfId="957" priority="45" stopIfTrue="1" operator="lessThan">
      <formula>$M$45</formula>
    </cfRule>
    <cfRule type="cellIs" dxfId="956" priority="46" stopIfTrue="1" operator="greaterThan">
      <formula>$M$44</formula>
    </cfRule>
  </conditionalFormatting>
  <conditionalFormatting sqref="O3:O34">
    <cfRule type="cellIs" dxfId="955" priority="44" stopIfTrue="1" operator="lessThan">
      <formula>0</formula>
    </cfRule>
  </conditionalFormatting>
  <conditionalFormatting sqref="O3:O33">
    <cfRule type="cellIs" dxfId="954" priority="43" stopIfTrue="1" operator="lessThan">
      <formula>0</formula>
    </cfRule>
  </conditionalFormatting>
  <conditionalFormatting sqref="O3">
    <cfRule type="cellIs" dxfId="953" priority="42" stopIfTrue="1" operator="notEqual">
      <formula>$P$3</formula>
    </cfRule>
  </conditionalFormatting>
  <conditionalFormatting sqref="O4">
    <cfRule type="cellIs" dxfId="952" priority="41" stopIfTrue="1" operator="notEqual">
      <formula>P$4</formula>
    </cfRule>
  </conditionalFormatting>
  <conditionalFormatting sqref="O5">
    <cfRule type="cellIs" dxfId="951" priority="40" stopIfTrue="1" operator="notEqual">
      <formula>$P$5</formula>
    </cfRule>
  </conditionalFormatting>
  <conditionalFormatting sqref="O6">
    <cfRule type="cellIs" dxfId="950" priority="39" stopIfTrue="1" operator="notEqual">
      <formula>$P$6</formula>
    </cfRule>
  </conditionalFormatting>
  <conditionalFormatting sqref="O7">
    <cfRule type="cellIs" dxfId="949" priority="38" stopIfTrue="1" operator="notEqual">
      <formula>$P$7</formula>
    </cfRule>
  </conditionalFormatting>
  <conditionalFormatting sqref="O8">
    <cfRule type="cellIs" dxfId="948" priority="37" stopIfTrue="1" operator="notEqual">
      <formula>$P$8</formula>
    </cfRule>
  </conditionalFormatting>
  <conditionalFormatting sqref="O9">
    <cfRule type="cellIs" dxfId="947" priority="36" stopIfTrue="1" operator="notEqual">
      <formula>$P$9</formula>
    </cfRule>
  </conditionalFormatting>
  <conditionalFormatting sqref="O10">
    <cfRule type="cellIs" dxfId="946" priority="34" stopIfTrue="1" operator="notEqual">
      <formula>$P$10</formula>
    </cfRule>
    <cfRule type="cellIs" dxfId="945" priority="35" stopIfTrue="1" operator="greaterThan">
      <formula>$P$10</formula>
    </cfRule>
  </conditionalFormatting>
  <conditionalFormatting sqref="O11">
    <cfRule type="cellIs" dxfId="944" priority="32" stopIfTrue="1" operator="notEqual">
      <formula>$P$11</formula>
    </cfRule>
    <cfRule type="cellIs" dxfId="943" priority="33" stopIfTrue="1" operator="greaterThan">
      <formula>$P$11</formula>
    </cfRule>
  </conditionalFormatting>
  <conditionalFormatting sqref="O12">
    <cfRule type="cellIs" dxfId="942" priority="31" stopIfTrue="1" operator="notEqual">
      <formula>$P$12</formula>
    </cfRule>
  </conditionalFormatting>
  <conditionalFormatting sqref="O14">
    <cfRule type="cellIs" dxfId="941" priority="30" stopIfTrue="1" operator="notEqual">
      <formula>$P$14</formula>
    </cfRule>
  </conditionalFormatting>
  <conditionalFormatting sqref="O15">
    <cfRule type="cellIs" dxfId="940" priority="29" stopIfTrue="1" operator="notEqual">
      <formula>$P$15</formula>
    </cfRule>
  </conditionalFormatting>
  <conditionalFormatting sqref="O16">
    <cfRule type="cellIs" dxfId="939" priority="28" stopIfTrue="1" operator="notEqual">
      <formula>$P$16</formula>
    </cfRule>
  </conditionalFormatting>
  <conditionalFormatting sqref="O17">
    <cfRule type="cellIs" dxfId="938" priority="27" stopIfTrue="1" operator="notEqual">
      <formula>$P$17</formula>
    </cfRule>
  </conditionalFormatting>
  <conditionalFormatting sqref="O18">
    <cfRule type="cellIs" dxfId="937" priority="26" stopIfTrue="1" operator="notEqual">
      <formula>$P$18</formula>
    </cfRule>
  </conditionalFormatting>
  <conditionalFormatting sqref="O19">
    <cfRule type="cellIs" dxfId="936" priority="24" stopIfTrue="1" operator="notEqual">
      <formula>$P$19</formula>
    </cfRule>
    <cfRule type="cellIs" dxfId="935" priority="25" stopIfTrue="1" operator="greaterThan">
      <formula>$P$19</formula>
    </cfRule>
  </conditionalFormatting>
  <conditionalFormatting sqref="O20">
    <cfRule type="cellIs" dxfId="934" priority="22" stopIfTrue="1" operator="notEqual">
      <formula>$P$20</formula>
    </cfRule>
    <cfRule type="cellIs" dxfId="933" priority="23" stopIfTrue="1" operator="greaterThan">
      <formula>$P$20</formula>
    </cfRule>
  </conditionalFormatting>
  <conditionalFormatting sqref="O21">
    <cfRule type="cellIs" dxfId="932" priority="21" stopIfTrue="1" operator="notEqual">
      <formula>$P$21</formula>
    </cfRule>
  </conditionalFormatting>
  <conditionalFormatting sqref="O22">
    <cfRule type="cellIs" dxfId="931" priority="20" stopIfTrue="1" operator="notEqual">
      <formula>$P$22</formula>
    </cfRule>
  </conditionalFormatting>
  <conditionalFormatting sqref="O23">
    <cfRule type="cellIs" dxfId="930" priority="19" stopIfTrue="1" operator="notEqual">
      <formula>$P$23</formula>
    </cfRule>
  </conditionalFormatting>
  <conditionalFormatting sqref="O24">
    <cfRule type="cellIs" dxfId="929" priority="17" stopIfTrue="1" operator="notEqual">
      <formula>$P$24</formula>
    </cfRule>
    <cfRule type="cellIs" dxfId="928" priority="18" stopIfTrue="1" operator="greaterThan">
      <formula>$P$24</formula>
    </cfRule>
  </conditionalFormatting>
  <conditionalFormatting sqref="O25">
    <cfRule type="cellIs" dxfId="927" priority="15" stopIfTrue="1" operator="notEqual">
      <formula>$P$25</formula>
    </cfRule>
    <cfRule type="cellIs" dxfId="926" priority="16" stopIfTrue="1" operator="greaterThan">
      <formula>$P$25</formula>
    </cfRule>
  </conditionalFormatting>
  <conditionalFormatting sqref="O26">
    <cfRule type="cellIs" dxfId="925" priority="14" stopIfTrue="1" operator="notEqual">
      <formula>$P$26</formula>
    </cfRule>
  </conditionalFormatting>
  <conditionalFormatting sqref="O27">
    <cfRule type="cellIs" dxfId="924" priority="13" stopIfTrue="1" operator="notEqual">
      <formula>$P$27</formula>
    </cfRule>
  </conditionalFormatting>
  <conditionalFormatting sqref="O28">
    <cfRule type="cellIs" dxfId="923" priority="12" stopIfTrue="1" operator="notEqual">
      <formula>$P$28</formula>
    </cfRule>
  </conditionalFormatting>
  <conditionalFormatting sqref="O29">
    <cfRule type="cellIs" dxfId="922" priority="11" stopIfTrue="1" operator="notEqual">
      <formula>$P$29</formula>
    </cfRule>
  </conditionalFormatting>
  <conditionalFormatting sqref="O30">
    <cfRule type="cellIs" dxfId="921" priority="10" stopIfTrue="1" operator="notEqual">
      <formula>$P$30</formula>
    </cfRule>
  </conditionalFormatting>
  <conditionalFormatting sqref="O31">
    <cfRule type="cellIs" dxfId="920" priority="8" stopIfTrue="1" operator="notEqual">
      <formula>$P$31</formula>
    </cfRule>
    <cfRule type="cellIs" dxfId="919" priority="9" stopIfTrue="1" operator="greaterThan">
      <formula>$P$31</formula>
    </cfRule>
  </conditionalFormatting>
  <conditionalFormatting sqref="O32">
    <cfRule type="cellIs" dxfId="918" priority="6" stopIfTrue="1" operator="notEqual">
      <formula>$P$32</formula>
    </cfRule>
    <cfRule type="cellIs" dxfId="917" priority="7" stopIfTrue="1" operator="greaterThan">
      <formula>$P$32</formula>
    </cfRule>
  </conditionalFormatting>
  <conditionalFormatting sqref="O33">
    <cfRule type="cellIs" dxfId="916" priority="5" stopIfTrue="1" operator="notEqual">
      <formula>$P$33</formula>
    </cfRule>
  </conditionalFormatting>
  <conditionalFormatting sqref="O13">
    <cfRule type="cellIs" dxfId="915" priority="4" stopIfTrue="1" operator="notEqual">
      <formula>$P$13</formula>
    </cfRule>
  </conditionalFormatting>
  <conditionalFormatting sqref="AG3:AG34">
    <cfRule type="cellIs" dxfId="914" priority="3" stopIfTrue="1" operator="notEqual">
      <formula>E3</formula>
    </cfRule>
  </conditionalFormatting>
  <conditionalFormatting sqref="AH3:AH34">
    <cfRule type="cellIs" dxfId="913" priority="2" stopIfTrue="1" operator="notBetween">
      <formula>AI3+$AG$40</formula>
      <formula>AI3-$AG$40</formula>
    </cfRule>
  </conditionalFormatting>
  <conditionalFormatting sqref="AL3:AL33">
    <cfRule type="cellIs" dxfId="91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303</v>
      </c>
      <c r="B3" s="487">
        <v>0.375</v>
      </c>
      <c r="C3" s="488">
        <v>2013</v>
      </c>
      <c r="D3" s="488">
        <v>3</v>
      </c>
      <c r="E3" s="488">
        <v>1</v>
      </c>
      <c r="F3" s="489">
        <v>272586</v>
      </c>
      <c r="G3" s="488">
        <v>0</v>
      </c>
      <c r="H3" s="489">
        <v>619714</v>
      </c>
      <c r="I3" s="488">
        <v>0</v>
      </c>
      <c r="J3" s="488">
        <v>0</v>
      </c>
      <c r="K3" s="488">
        <v>0</v>
      </c>
      <c r="L3" s="490">
        <v>88.472200000000001</v>
      </c>
      <c r="M3" s="489">
        <v>25.1</v>
      </c>
      <c r="N3" s="491">
        <v>0</v>
      </c>
      <c r="O3" s="492">
        <v>1661</v>
      </c>
      <c r="P3" s="493">
        <f>F4-F3</f>
        <v>1661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1661</v>
      </c>
      <c r="W3" s="498">
        <f>V3*35.31467</f>
        <v>58657.666870000001</v>
      </c>
      <c r="X3" s="497"/>
      <c r="Y3" s="499">
        <f>V3*R3/1000000</f>
        <v>14.325658610278333</v>
      </c>
      <c r="Z3" s="500">
        <f>S3*V3/1000000</f>
        <v>59.978667469513312</v>
      </c>
      <c r="AA3" s="501">
        <f>W3*T3/1000000</f>
        <v>56.848646697070663</v>
      </c>
      <c r="AE3" s="598" t="str">
        <f>RIGHT(F3,6)</f>
        <v>272586</v>
      </c>
      <c r="AF3" s="486">
        <v>303</v>
      </c>
      <c r="AG3" s="491">
        <v>1</v>
      </c>
      <c r="AH3" s="599">
        <v>272586</v>
      </c>
      <c r="AI3" s="600">
        <f>IFERROR(AE3*1,0)</f>
        <v>272586</v>
      </c>
      <c r="AJ3" s="601">
        <f>(AI3-AH3)</f>
        <v>0</v>
      </c>
      <c r="AL3" s="602">
        <f>AH4-AH3</f>
        <v>1666</v>
      </c>
      <c r="AM3" s="603">
        <f>AI4-AI3</f>
        <v>1661</v>
      </c>
      <c r="AN3" s="604">
        <f>(AM3-AL3)</f>
        <v>-5</v>
      </c>
      <c r="AO3" s="605">
        <f>IFERROR(AN3/AM3,"")</f>
        <v>-3.0102347983142685E-3</v>
      </c>
    </row>
    <row r="4" spans="1:41" x14ac:dyDescent="0.2">
      <c r="A4" s="502">
        <v>303</v>
      </c>
      <c r="B4" s="503">
        <v>0.375</v>
      </c>
      <c r="C4" s="504">
        <v>2013</v>
      </c>
      <c r="D4" s="504">
        <v>3</v>
      </c>
      <c r="E4" s="504">
        <v>2</v>
      </c>
      <c r="F4" s="505">
        <v>274247</v>
      </c>
      <c r="G4" s="504">
        <v>0</v>
      </c>
      <c r="H4" s="505">
        <v>12688</v>
      </c>
      <c r="I4" s="504">
        <v>0</v>
      </c>
      <c r="J4" s="504">
        <v>0</v>
      </c>
      <c r="K4" s="504">
        <v>0</v>
      </c>
      <c r="L4" s="506">
        <v>69.599999999999994</v>
      </c>
      <c r="M4" s="505">
        <v>206.1</v>
      </c>
      <c r="N4" s="507">
        <v>0</v>
      </c>
      <c r="O4" s="508">
        <v>564</v>
      </c>
      <c r="P4" s="493">
        <f t="shared" ref="P4:P33" si="0">F5-F4</f>
        <v>564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564</v>
      </c>
      <c r="W4" s="512">
        <f>V4*35.31467</f>
        <v>19917.473880000001</v>
      </c>
      <c r="X4" s="497"/>
      <c r="Y4" s="513">
        <f>V4*R4/1000000</f>
        <v>4.8600804526940875</v>
      </c>
      <c r="Z4" s="510">
        <f>S4*V4/1000000</f>
        <v>20.348184839339602</v>
      </c>
      <c r="AA4" s="511">
        <f>W4*T4/1000000</f>
        <v>19.286303275181666</v>
      </c>
      <c r="AE4" s="598" t="str">
        <f t="shared" ref="AE4:AE34" si="3">RIGHT(F4,6)</f>
        <v>274247</v>
      </c>
      <c r="AF4" s="502">
        <v>303</v>
      </c>
      <c r="AG4" s="606">
        <v>2</v>
      </c>
      <c r="AH4" s="607">
        <v>274252</v>
      </c>
      <c r="AI4" s="608">
        <f t="shared" ref="AI4:AI34" si="4">IFERROR(AE4*1,0)</f>
        <v>274247</v>
      </c>
      <c r="AJ4" s="609">
        <f t="shared" ref="AJ4:AJ34" si="5">(AI4-AH4)</f>
        <v>-5</v>
      </c>
      <c r="AL4" s="602">
        <f t="shared" ref="AL4:AM33" si="6">AH5-AH4</f>
        <v>558</v>
      </c>
      <c r="AM4" s="610">
        <f t="shared" si="6"/>
        <v>564</v>
      </c>
      <c r="AN4" s="611">
        <f t="shared" ref="AN4:AN33" si="7">(AM4-AL4)</f>
        <v>6</v>
      </c>
      <c r="AO4" s="612">
        <f t="shared" ref="AO4:AO33" si="8">IFERROR(AN4/AM4,"")</f>
        <v>1.0638297872340425E-2</v>
      </c>
    </row>
    <row r="5" spans="1:41" x14ac:dyDescent="0.2">
      <c r="A5" s="502">
        <v>303</v>
      </c>
      <c r="B5" s="503">
        <v>0.375</v>
      </c>
      <c r="C5" s="504">
        <v>2013</v>
      </c>
      <c r="D5" s="504">
        <v>3</v>
      </c>
      <c r="E5" s="504">
        <v>3</v>
      </c>
      <c r="F5" s="505">
        <v>274811</v>
      </c>
      <c r="G5" s="504">
        <v>0</v>
      </c>
      <c r="H5" s="505">
        <v>12712</v>
      </c>
      <c r="I5" s="504">
        <v>0</v>
      </c>
      <c r="J5" s="504">
        <v>0</v>
      </c>
      <c r="K5" s="504">
        <v>0</v>
      </c>
      <c r="L5" s="506">
        <v>23.9</v>
      </c>
      <c r="M5" s="505">
        <v>196.6</v>
      </c>
      <c r="N5" s="507">
        <v>0</v>
      </c>
      <c r="O5" s="508">
        <v>0</v>
      </c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>274811</v>
      </c>
      <c r="AF5" s="502">
        <v>303</v>
      </c>
      <c r="AG5" s="606">
        <v>3</v>
      </c>
      <c r="AH5" s="607">
        <v>274810</v>
      </c>
      <c r="AI5" s="608">
        <f t="shared" si="4"/>
        <v>274811</v>
      </c>
      <c r="AJ5" s="609">
        <f t="shared" si="5"/>
        <v>1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>
        <v>303</v>
      </c>
      <c r="B6" s="503">
        <v>0.375</v>
      </c>
      <c r="C6" s="504">
        <v>2013</v>
      </c>
      <c r="D6" s="504">
        <v>3</v>
      </c>
      <c r="E6" s="504">
        <v>4</v>
      </c>
      <c r="F6" s="505">
        <v>274811</v>
      </c>
      <c r="G6" s="504">
        <v>0</v>
      </c>
      <c r="H6" s="505">
        <v>12712</v>
      </c>
      <c r="I6" s="504">
        <v>0</v>
      </c>
      <c r="J6" s="504">
        <v>0</v>
      </c>
      <c r="K6" s="504">
        <v>0</v>
      </c>
      <c r="L6" s="506">
        <v>0</v>
      </c>
      <c r="M6" s="505">
        <v>0</v>
      </c>
      <c r="N6" s="507">
        <v>0</v>
      </c>
      <c r="O6" s="508">
        <v>362</v>
      </c>
      <c r="P6" s="493">
        <f t="shared" si="0"/>
        <v>362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362</v>
      </c>
      <c r="W6" s="512">
        <f t="shared" si="10"/>
        <v>12783.910539999999</v>
      </c>
      <c r="X6" s="497"/>
      <c r="Y6" s="513">
        <f t="shared" si="11"/>
        <v>3.1389149819957285</v>
      </c>
      <c r="Z6" s="510">
        <f t="shared" si="12"/>
        <v>13.142009246619713</v>
      </c>
      <c r="AA6" s="511">
        <f t="shared" si="13"/>
        <v>12.456186041986804</v>
      </c>
      <c r="AE6" s="598" t="str">
        <f t="shared" si="3"/>
        <v>274811</v>
      </c>
      <c r="AF6" s="502">
        <v>303</v>
      </c>
      <c r="AG6" s="606">
        <v>4</v>
      </c>
      <c r="AH6" s="607">
        <v>274810</v>
      </c>
      <c r="AI6" s="608">
        <f t="shared" si="4"/>
        <v>274811</v>
      </c>
      <c r="AJ6" s="609">
        <f t="shared" si="5"/>
        <v>1</v>
      </c>
      <c r="AL6" s="602">
        <f t="shared" si="6"/>
        <v>368</v>
      </c>
      <c r="AM6" s="610">
        <f t="shared" si="6"/>
        <v>362</v>
      </c>
      <c r="AN6" s="611">
        <f t="shared" si="7"/>
        <v>-6</v>
      </c>
      <c r="AO6" s="612">
        <f t="shared" si="8"/>
        <v>-1.6574585635359115E-2</v>
      </c>
    </row>
    <row r="7" spans="1:41" x14ac:dyDescent="0.2">
      <c r="A7" s="502">
        <v>303</v>
      </c>
      <c r="B7" s="503">
        <v>0.375</v>
      </c>
      <c r="C7" s="504">
        <v>2013</v>
      </c>
      <c r="D7" s="504">
        <v>3</v>
      </c>
      <c r="E7" s="504">
        <v>5</v>
      </c>
      <c r="F7" s="505">
        <v>275173</v>
      </c>
      <c r="G7" s="504">
        <v>0</v>
      </c>
      <c r="H7" s="505">
        <v>12728</v>
      </c>
      <c r="I7" s="504">
        <v>0</v>
      </c>
      <c r="J7" s="504">
        <v>0</v>
      </c>
      <c r="K7" s="504">
        <v>0</v>
      </c>
      <c r="L7" s="506">
        <v>14.9</v>
      </c>
      <c r="M7" s="505">
        <v>211</v>
      </c>
      <c r="N7" s="507">
        <v>0</v>
      </c>
      <c r="O7" s="508">
        <v>1622</v>
      </c>
      <c r="P7" s="493">
        <f t="shared" si="0"/>
        <v>1622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1622</v>
      </c>
      <c r="W7" s="512">
        <f t="shared" si="10"/>
        <v>57280.394739999996</v>
      </c>
      <c r="X7" s="497"/>
      <c r="Y7" s="513">
        <f t="shared" si="11"/>
        <v>14.052687758646492</v>
      </c>
      <c r="Z7" s="510">
        <f t="shared" si="12"/>
        <v>58.835793107901125</v>
      </c>
      <c r="AA7" s="511">
        <f t="shared" si="13"/>
        <v>55.765413882079294</v>
      </c>
      <c r="AE7" s="598" t="str">
        <f t="shared" si="3"/>
        <v>275173</v>
      </c>
      <c r="AF7" s="502">
        <v>303</v>
      </c>
      <c r="AG7" s="606">
        <v>5</v>
      </c>
      <c r="AH7" s="607">
        <v>275178</v>
      </c>
      <c r="AI7" s="608">
        <f t="shared" si="4"/>
        <v>275173</v>
      </c>
      <c r="AJ7" s="609">
        <f t="shared" si="5"/>
        <v>-5</v>
      </c>
      <c r="AL7" s="602">
        <f t="shared" si="6"/>
        <v>1621</v>
      </c>
      <c r="AM7" s="610">
        <f t="shared" si="6"/>
        <v>1622</v>
      </c>
      <c r="AN7" s="611">
        <f t="shared" si="7"/>
        <v>1</v>
      </c>
      <c r="AO7" s="612">
        <f t="shared" si="8"/>
        <v>6.1652281134401974E-4</v>
      </c>
    </row>
    <row r="8" spans="1:41" x14ac:dyDescent="0.2">
      <c r="A8" s="502">
        <v>303</v>
      </c>
      <c r="B8" s="503">
        <v>0.375</v>
      </c>
      <c r="C8" s="504">
        <v>2013</v>
      </c>
      <c r="D8" s="504">
        <v>3</v>
      </c>
      <c r="E8" s="504">
        <v>6</v>
      </c>
      <c r="F8" s="505">
        <v>276795</v>
      </c>
      <c r="G8" s="504">
        <v>0</v>
      </c>
      <c r="H8" s="505">
        <v>12800</v>
      </c>
      <c r="I8" s="504">
        <v>0</v>
      </c>
      <c r="J8" s="504">
        <v>0</v>
      </c>
      <c r="K8" s="504">
        <v>0</v>
      </c>
      <c r="L8" s="506">
        <v>67.900000000000006</v>
      </c>
      <c r="M8" s="505">
        <v>208.6</v>
      </c>
      <c r="N8" s="507">
        <v>0</v>
      </c>
      <c r="O8" s="508">
        <v>1584</v>
      </c>
      <c r="P8" s="493">
        <f t="shared" si="0"/>
        <v>1584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1584</v>
      </c>
      <c r="W8" s="512">
        <f t="shared" si="10"/>
        <v>55938.437279999998</v>
      </c>
      <c r="X8" s="497"/>
      <c r="Y8" s="513">
        <f t="shared" si="11"/>
        <v>13.744764830995276</v>
      </c>
      <c r="Z8" s="510">
        <f t="shared" si="12"/>
        <v>57.546581394411021</v>
      </c>
      <c r="AA8" s="511">
        <f t="shared" si="13"/>
        <v>54.543480412897495</v>
      </c>
      <c r="AE8" s="598" t="str">
        <f t="shared" si="3"/>
        <v>276795</v>
      </c>
      <c r="AF8" s="502">
        <v>303</v>
      </c>
      <c r="AG8" s="606">
        <v>6</v>
      </c>
      <c r="AH8" s="607">
        <v>276799</v>
      </c>
      <c r="AI8" s="608">
        <f t="shared" si="4"/>
        <v>276795</v>
      </c>
      <c r="AJ8" s="609">
        <f t="shared" si="5"/>
        <v>-4</v>
      </c>
      <c r="AL8" s="602">
        <f t="shared" si="6"/>
        <v>1584</v>
      </c>
      <c r="AM8" s="610">
        <f t="shared" si="6"/>
        <v>1584</v>
      </c>
      <c r="AN8" s="611">
        <f t="shared" si="7"/>
        <v>0</v>
      </c>
      <c r="AO8" s="612">
        <f t="shared" si="8"/>
        <v>0</v>
      </c>
    </row>
    <row r="9" spans="1:41" x14ac:dyDescent="0.2">
      <c r="A9" s="502">
        <v>303</v>
      </c>
      <c r="B9" s="503">
        <v>0.375</v>
      </c>
      <c r="C9" s="504">
        <v>2013</v>
      </c>
      <c r="D9" s="504">
        <v>3</v>
      </c>
      <c r="E9" s="504">
        <v>7</v>
      </c>
      <c r="F9" s="505">
        <v>278379</v>
      </c>
      <c r="G9" s="504">
        <v>0</v>
      </c>
      <c r="H9" s="505">
        <v>12868</v>
      </c>
      <c r="I9" s="504">
        <v>0</v>
      </c>
      <c r="J9" s="504">
        <v>0</v>
      </c>
      <c r="K9" s="504">
        <v>0</v>
      </c>
      <c r="L9" s="506">
        <v>66.400000000000006</v>
      </c>
      <c r="M9" s="505">
        <v>209</v>
      </c>
      <c r="N9" s="507">
        <v>0</v>
      </c>
      <c r="O9" s="508">
        <v>1641</v>
      </c>
      <c r="P9" s="493">
        <f t="shared" si="0"/>
        <v>1641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1641</v>
      </c>
      <c r="W9" s="512">
        <f t="shared" si="10"/>
        <v>57951.373469999999</v>
      </c>
      <c r="X9" s="497"/>
      <c r="Y9" s="513">
        <f t="shared" si="11"/>
        <v>14.250810516131088</v>
      </c>
      <c r="Z9" s="510">
        <f t="shared" si="12"/>
        <v>59.665293468937634</v>
      </c>
      <c r="AA9" s="511">
        <f t="shared" si="13"/>
        <v>56.551626296411889</v>
      </c>
      <c r="AE9" s="598" t="str">
        <f t="shared" si="3"/>
        <v>278379</v>
      </c>
      <c r="AF9" s="502">
        <v>303</v>
      </c>
      <c r="AG9" s="606">
        <v>7</v>
      </c>
      <c r="AH9" s="607">
        <v>278383</v>
      </c>
      <c r="AI9" s="608">
        <f t="shared" si="4"/>
        <v>278379</v>
      </c>
      <c r="AJ9" s="609">
        <f t="shared" si="5"/>
        <v>-4</v>
      </c>
      <c r="AL9" s="602">
        <f t="shared" si="6"/>
        <v>1642</v>
      </c>
      <c r="AM9" s="610">
        <f t="shared" si="6"/>
        <v>1641</v>
      </c>
      <c r="AN9" s="611">
        <f t="shared" si="7"/>
        <v>-1</v>
      </c>
      <c r="AO9" s="612">
        <f t="shared" si="8"/>
        <v>-6.0938452163315055E-4</v>
      </c>
    </row>
    <row r="10" spans="1:41" x14ac:dyDescent="0.2">
      <c r="A10" s="502">
        <v>303</v>
      </c>
      <c r="B10" s="503">
        <v>0.375</v>
      </c>
      <c r="C10" s="504">
        <v>2013</v>
      </c>
      <c r="D10" s="504">
        <v>3</v>
      </c>
      <c r="E10" s="504">
        <v>8</v>
      </c>
      <c r="F10" s="505">
        <v>280020</v>
      </c>
      <c r="G10" s="504">
        <v>0</v>
      </c>
      <c r="H10" s="505">
        <v>12938</v>
      </c>
      <c r="I10" s="504">
        <v>0</v>
      </c>
      <c r="J10" s="504">
        <v>0</v>
      </c>
      <c r="K10" s="504">
        <v>0</v>
      </c>
      <c r="L10" s="506">
        <v>68.599999999999994</v>
      </c>
      <c r="M10" s="505">
        <v>209.2</v>
      </c>
      <c r="N10" s="507">
        <v>0</v>
      </c>
      <c r="O10" s="508">
        <v>1526</v>
      </c>
      <c r="P10" s="493">
        <f t="shared" si="0"/>
        <v>1526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1526</v>
      </c>
      <c r="W10" s="512">
        <f t="shared" si="10"/>
        <v>53890.186419999998</v>
      </c>
      <c r="X10" s="497"/>
      <c r="Y10" s="513">
        <f t="shared" si="11"/>
        <v>13.246302056498431</v>
      </c>
      <c r="Z10" s="510">
        <f t="shared" si="12"/>
        <v>55.459617450147626</v>
      </c>
      <c r="AA10" s="511">
        <f t="shared" si="13"/>
        <v>52.565425865465961</v>
      </c>
      <c r="AE10" s="598" t="str">
        <f t="shared" si="3"/>
        <v>280020</v>
      </c>
      <c r="AF10" s="502">
        <v>303</v>
      </c>
      <c r="AG10" s="606">
        <v>8</v>
      </c>
      <c r="AH10" s="607">
        <v>280025</v>
      </c>
      <c r="AI10" s="608">
        <f t="shared" si="4"/>
        <v>280020</v>
      </c>
      <c r="AJ10" s="609">
        <f t="shared" si="5"/>
        <v>-5</v>
      </c>
      <c r="AL10" s="602">
        <f t="shared" si="6"/>
        <v>1526</v>
      </c>
      <c r="AM10" s="610">
        <f t="shared" si="6"/>
        <v>1526</v>
      </c>
      <c r="AN10" s="611">
        <f t="shared" si="7"/>
        <v>0</v>
      </c>
      <c r="AO10" s="612">
        <f t="shared" si="8"/>
        <v>0</v>
      </c>
    </row>
    <row r="11" spans="1:41" x14ac:dyDescent="0.2">
      <c r="A11" s="502">
        <v>303</v>
      </c>
      <c r="B11" s="503">
        <v>0.375</v>
      </c>
      <c r="C11" s="504">
        <v>2013</v>
      </c>
      <c r="D11" s="504">
        <v>3</v>
      </c>
      <c r="E11" s="504">
        <v>9</v>
      </c>
      <c r="F11" s="505">
        <v>281546</v>
      </c>
      <c r="G11" s="504">
        <v>0</v>
      </c>
      <c r="H11" s="505">
        <v>13004</v>
      </c>
      <c r="I11" s="504">
        <v>0</v>
      </c>
      <c r="J11" s="504">
        <v>0</v>
      </c>
      <c r="K11" s="504">
        <v>0</v>
      </c>
      <c r="L11" s="506">
        <v>64</v>
      </c>
      <c r="M11" s="505">
        <v>194.3</v>
      </c>
      <c r="N11" s="507">
        <v>0</v>
      </c>
      <c r="O11" s="508">
        <v>382</v>
      </c>
      <c r="P11" s="493">
        <f t="shared" si="0"/>
        <v>382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382</v>
      </c>
      <c r="W11" s="515">
        <f t="shared" si="10"/>
        <v>13490.203939999999</v>
      </c>
      <c r="Y11" s="513">
        <f t="shared" si="11"/>
        <v>3.3182803550387363</v>
      </c>
      <c r="Z11" s="510">
        <f t="shared" si="12"/>
        <v>13.892976190476181</v>
      </c>
      <c r="AA11" s="511">
        <f t="shared" si="13"/>
        <v>13.167963350046792</v>
      </c>
      <c r="AE11" s="598" t="str">
        <f t="shared" si="3"/>
        <v>281546</v>
      </c>
      <c r="AF11" s="502">
        <v>303</v>
      </c>
      <c r="AG11" s="606">
        <v>9</v>
      </c>
      <c r="AH11" s="607">
        <v>281551</v>
      </c>
      <c r="AI11" s="608">
        <f t="shared" si="4"/>
        <v>281546</v>
      </c>
      <c r="AJ11" s="609">
        <f t="shared" si="5"/>
        <v>-5</v>
      </c>
      <c r="AL11" s="602">
        <f t="shared" si="6"/>
        <v>376</v>
      </c>
      <c r="AM11" s="610">
        <f t="shared" si="6"/>
        <v>382</v>
      </c>
      <c r="AN11" s="611">
        <f t="shared" si="7"/>
        <v>6</v>
      </c>
      <c r="AO11" s="612">
        <f t="shared" si="8"/>
        <v>1.5706806282722512E-2</v>
      </c>
    </row>
    <row r="12" spans="1:41" x14ac:dyDescent="0.2">
      <c r="A12" s="502">
        <v>303</v>
      </c>
      <c r="B12" s="503">
        <v>0.375</v>
      </c>
      <c r="C12" s="504">
        <v>2013</v>
      </c>
      <c r="D12" s="504">
        <v>3</v>
      </c>
      <c r="E12" s="504">
        <v>10</v>
      </c>
      <c r="F12" s="505">
        <v>281928</v>
      </c>
      <c r="G12" s="504">
        <v>0</v>
      </c>
      <c r="H12" s="505">
        <v>13020</v>
      </c>
      <c r="I12" s="504">
        <v>0</v>
      </c>
      <c r="J12" s="504">
        <v>0</v>
      </c>
      <c r="K12" s="504">
        <v>0</v>
      </c>
      <c r="L12" s="506">
        <v>16.3</v>
      </c>
      <c r="M12" s="505">
        <v>136.30000000000001</v>
      </c>
      <c r="N12" s="507">
        <v>0</v>
      </c>
      <c r="O12" s="508">
        <v>0</v>
      </c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>281928</v>
      </c>
      <c r="AF12" s="502">
        <v>303</v>
      </c>
      <c r="AG12" s="606">
        <v>10</v>
      </c>
      <c r="AH12" s="607">
        <v>281927</v>
      </c>
      <c r="AI12" s="608">
        <f t="shared" si="4"/>
        <v>281928</v>
      </c>
      <c r="AJ12" s="609">
        <f t="shared" si="5"/>
        <v>1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>
        <v>303</v>
      </c>
      <c r="B13" s="503">
        <v>0.375</v>
      </c>
      <c r="C13" s="504">
        <v>2013</v>
      </c>
      <c r="D13" s="504">
        <v>3</v>
      </c>
      <c r="E13" s="504">
        <v>11</v>
      </c>
      <c r="F13" s="505">
        <v>281928</v>
      </c>
      <c r="G13" s="504">
        <v>0</v>
      </c>
      <c r="H13" s="505">
        <v>13020</v>
      </c>
      <c r="I13" s="504">
        <v>0</v>
      </c>
      <c r="J13" s="504">
        <v>0</v>
      </c>
      <c r="K13" s="504">
        <v>0</v>
      </c>
      <c r="L13" s="506">
        <v>0</v>
      </c>
      <c r="M13" s="505">
        <v>0</v>
      </c>
      <c r="N13" s="507">
        <v>0</v>
      </c>
      <c r="O13" s="508">
        <v>356</v>
      </c>
      <c r="P13" s="493">
        <f t="shared" si="0"/>
        <v>356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356</v>
      </c>
      <c r="W13" s="515">
        <f t="shared" si="10"/>
        <v>12572.02252</v>
      </c>
      <c r="Y13" s="513">
        <f t="shared" si="11"/>
        <v>3.0914432677591313</v>
      </c>
      <c r="Z13" s="510">
        <f t="shared" si="12"/>
        <v>12.94325467345393</v>
      </c>
      <c r="AA13" s="511">
        <f t="shared" si="13"/>
        <v>12.267803588924275</v>
      </c>
      <c r="AE13" s="598" t="str">
        <f t="shared" si="3"/>
        <v>281928</v>
      </c>
      <c r="AF13" s="502">
        <v>303</v>
      </c>
      <c r="AG13" s="606">
        <v>11</v>
      </c>
      <c r="AH13" s="607">
        <v>281927</v>
      </c>
      <c r="AI13" s="608">
        <f t="shared" si="4"/>
        <v>281928</v>
      </c>
      <c r="AJ13" s="609">
        <f t="shared" si="5"/>
        <v>1</v>
      </c>
      <c r="AL13" s="602">
        <f t="shared" si="6"/>
        <v>363</v>
      </c>
      <c r="AM13" s="610">
        <f t="shared" si="6"/>
        <v>356</v>
      </c>
      <c r="AN13" s="611">
        <f t="shared" si="7"/>
        <v>-7</v>
      </c>
      <c r="AO13" s="612">
        <f t="shared" si="8"/>
        <v>-1.9662921348314606E-2</v>
      </c>
    </row>
    <row r="14" spans="1:41" x14ac:dyDescent="0.2">
      <c r="A14" s="502">
        <v>303</v>
      </c>
      <c r="B14" s="503">
        <v>0.375</v>
      </c>
      <c r="C14" s="504">
        <v>2013</v>
      </c>
      <c r="D14" s="504">
        <v>3</v>
      </c>
      <c r="E14" s="504">
        <v>12</v>
      </c>
      <c r="F14" s="505">
        <v>282284</v>
      </c>
      <c r="G14" s="504">
        <v>0</v>
      </c>
      <c r="H14" s="505">
        <v>13035</v>
      </c>
      <c r="I14" s="504">
        <v>0</v>
      </c>
      <c r="J14" s="504">
        <v>0</v>
      </c>
      <c r="K14" s="504">
        <v>0</v>
      </c>
      <c r="L14" s="506">
        <v>14.7</v>
      </c>
      <c r="M14" s="505">
        <v>208.7</v>
      </c>
      <c r="N14" s="507">
        <v>0</v>
      </c>
      <c r="O14" s="508">
        <v>1629</v>
      </c>
      <c r="P14" s="493">
        <f t="shared" si="0"/>
        <v>1629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1629</v>
      </c>
      <c r="W14" s="515">
        <f t="shared" si="10"/>
        <v>57527.597430000002</v>
      </c>
      <c r="Y14" s="513">
        <f t="shared" si="11"/>
        <v>14.15203826502557</v>
      </c>
      <c r="Z14" s="510">
        <f t="shared" si="12"/>
        <v>59.251753808009056</v>
      </c>
      <c r="AA14" s="511">
        <f t="shared" si="13"/>
        <v>56.159667437184062</v>
      </c>
      <c r="AE14" s="598" t="str">
        <f t="shared" si="3"/>
        <v>282284</v>
      </c>
      <c r="AF14" s="502">
        <v>303</v>
      </c>
      <c r="AG14" s="606">
        <v>12</v>
      </c>
      <c r="AH14" s="607">
        <v>282290</v>
      </c>
      <c r="AI14" s="608">
        <f t="shared" si="4"/>
        <v>282284</v>
      </c>
      <c r="AJ14" s="609">
        <f t="shared" si="5"/>
        <v>-6</v>
      </c>
      <c r="AL14" s="602">
        <f t="shared" si="6"/>
        <v>1627</v>
      </c>
      <c r="AM14" s="610">
        <f t="shared" si="6"/>
        <v>1629</v>
      </c>
      <c r="AN14" s="611">
        <f t="shared" si="7"/>
        <v>2</v>
      </c>
      <c r="AO14" s="612">
        <f t="shared" si="8"/>
        <v>1.2277470841006752E-3</v>
      </c>
    </row>
    <row r="15" spans="1:41" x14ac:dyDescent="0.2">
      <c r="A15" s="502">
        <v>303</v>
      </c>
      <c r="B15" s="503">
        <v>0.375</v>
      </c>
      <c r="C15" s="504">
        <v>2013</v>
      </c>
      <c r="D15" s="504">
        <v>3</v>
      </c>
      <c r="E15" s="504">
        <v>13</v>
      </c>
      <c r="F15" s="505">
        <v>283913</v>
      </c>
      <c r="G15" s="504">
        <v>0</v>
      </c>
      <c r="H15" s="505">
        <v>13106</v>
      </c>
      <c r="I15" s="504">
        <v>0</v>
      </c>
      <c r="J15" s="504">
        <v>0</v>
      </c>
      <c r="K15" s="504">
        <v>0</v>
      </c>
      <c r="L15" s="506">
        <v>68.099999999999994</v>
      </c>
      <c r="M15" s="505">
        <v>208.2</v>
      </c>
      <c r="N15" s="507">
        <v>0</v>
      </c>
      <c r="O15" s="508">
        <v>1632</v>
      </c>
      <c r="P15" s="493">
        <f t="shared" si="0"/>
        <v>1632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1632</v>
      </c>
      <c r="W15" s="515">
        <f t="shared" si="10"/>
        <v>57633.541440000001</v>
      </c>
      <c r="Y15" s="513">
        <f t="shared" si="11"/>
        <v>14.144442621256925</v>
      </c>
      <c r="Z15" s="510">
        <f t="shared" si="12"/>
        <v>59.219952366678498</v>
      </c>
      <c r="AA15" s="511">
        <f t="shared" si="13"/>
        <v>56.129525572102153</v>
      </c>
      <c r="AE15" s="598" t="str">
        <f t="shared" si="3"/>
        <v>283913</v>
      </c>
      <c r="AF15" s="502">
        <v>303</v>
      </c>
      <c r="AG15" s="606">
        <v>13</v>
      </c>
      <c r="AH15" s="607">
        <v>283917</v>
      </c>
      <c r="AI15" s="608">
        <f t="shared" si="4"/>
        <v>283913</v>
      </c>
      <c r="AJ15" s="609">
        <f t="shared" si="5"/>
        <v>-4</v>
      </c>
      <c r="AL15" s="602">
        <f t="shared" si="6"/>
        <v>1635</v>
      </c>
      <c r="AM15" s="610">
        <f t="shared" si="6"/>
        <v>1632</v>
      </c>
      <c r="AN15" s="611">
        <f t="shared" si="7"/>
        <v>-3</v>
      </c>
      <c r="AO15" s="612">
        <f t="shared" si="8"/>
        <v>-1.838235294117647E-3</v>
      </c>
    </row>
    <row r="16" spans="1:41" x14ac:dyDescent="0.2">
      <c r="A16" s="502">
        <v>303</v>
      </c>
      <c r="B16" s="503">
        <v>0.375</v>
      </c>
      <c r="C16" s="504">
        <v>2013</v>
      </c>
      <c r="D16" s="504">
        <v>3</v>
      </c>
      <c r="E16" s="504">
        <v>14</v>
      </c>
      <c r="F16" s="505">
        <v>285545</v>
      </c>
      <c r="G16" s="504">
        <v>0</v>
      </c>
      <c r="H16" s="505">
        <v>13178</v>
      </c>
      <c r="I16" s="504">
        <v>0</v>
      </c>
      <c r="J16" s="504">
        <v>0</v>
      </c>
      <c r="K16" s="504">
        <v>0</v>
      </c>
      <c r="L16" s="506">
        <v>68.3</v>
      </c>
      <c r="M16" s="505">
        <v>207.6</v>
      </c>
      <c r="N16" s="507">
        <v>0</v>
      </c>
      <c r="O16" s="508">
        <v>1657</v>
      </c>
      <c r="P16" s="493">
        <f t="shared" si="0"/>
        <v>1657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1657</v>
      </c>
      <c r="W16" s="515">
        <f t="shared" si="10"/>
        <v>58516.408190000002</v>
      </c>
      <c r="Y16" s="513">
        <f t="shared" si="11"/>
        <v>14.323927759074836</v>
      </c>
      <c r="Z16" s="510">
        <f t="shared" si="12"/>
        <v>59.971420741694523</v>
      </c>
      <c r="AA16" s="511">
        <f t="shared" si="13"/>
        <v>56.841778143852302</v>
      </c>
      <c r="AE16" s="598" t="str">
        <f t="shared" si="3"/>
        <v>285545</v>
      </c>
      <c r="AF16" s="502">
        <v>303</v>
      </c>
      <c r="AG16" s="606">
        <v>14</v>
      </c>
      <c r="AH16" s="607">
        <v>285552</v>
      </c>
      <c r="AI16" s="608">
        <f t="shared" si="4"/>
        <v>285545</v>
      </c>
      <c r="AJ16" s="609">
        <f t="shared" si="5"/>
        <v>-7</v>
      </c>
      <c r="AL16" s="602">
        <f t="shared" si="6"/>
        <v>-285552</v>
      </c>
      <c r="AM16" s="610">
        <f t="shared" si="6"/>
        <v>1657</v>
      </c>
      <c r="AN16" s="611">
        <f t="shared" si="7"/>
        <v>287209</v>
      </c>
      <c r="AO16" s="612">
        <f t="shared" si="8"/>
        <v>173.33071816535909</v>
      </c>
    </row>
    <row r="17" spans="1:41" x14ac:dyDescent="0.2">
      <c r="A17" s="502">
        <v>303</v>
      </c>
      <c r="B17" s="503">
        <v>0.375</v>
      </c>
      <c r="C17" s="504">
        <v>2013</v>
      </c>
      <c r="D17" s="504">
        <v>3</v>
      </c>
      <c r="E17" s="504">
        <v>15</v>
      </c>
      <c r="F17" s="505">
        <v>287202</v>
      </c>
      <c r="G17" s="504">
        <v>0</v>
      </c>
      <c r="H17" s="505">
        <v>13249</v>
      </c>
      <c r="I17" s="504">
        <v>0</v>
      </c>
      <c r="J17" s="504">
        <v>0</v>
      </c>
      <c r="K17" s="504">
        <v>0</v>
      </c>
      <c r="L17" s="506">
        <v>69.2</v>
      </c>
      <c r="M17" s="505">
        <v>207.4</v>
      </c>
      <c r="N17" s="507">
        <v>0</v>
      </c>
      <c r="O17" s="508">
        <v>1639</v>
      </c>
      <c r="P17" s="493">
        <f t="shared" si="0"/>
        <v>1639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1639</v>
      </c>
      <c r="W17" s="515">
        <f t="shared" si="10"/>
        <v>57880.744129999999</v>
      </c>
      <c r="Y17" s="513">
        <f t="shared" si="11"/>
        <v>14.345975905645567</v>
      </c>
      <c r="Z17" s="510">
        <f t="shared" si="12"/>
        <v>60.063731921756855</v>
      </c>
      <c r="AA17" s="511">
        <f t="shared" si="13"/>
        <v>56.929272012638577</v>
      </c>
      <c r="AE17" s="598" t="str">
        <f t="shared" si="3"/>
        <v>287202</v>
      </c>
      <c r="AF17" s="502"/>
      <c r="AG17" s="606"/>
      <c r="AH17" s="607"/>
      <c r="AI17" s="608">
        <f t="shared" si="4"/>
        <v>287202</v>
      </c>
      <c r="AJ17" s="609">
        <f t="shared" si="5"/>
        <v>287202</v>
      </c>
      <c r="AL17" s="602">
        <f t="shared" si="6"/>
        <v>0</v>
      </c>
      <c r="AM17" s="610">
        <f t="shared" si="6"/>
        <v>1639</v>
      </c>
      <c r="AN17" s="611">
        <f t="shared" si="7"/>
        <v>1639</v>
      </c>
      <c r="AO17" s="612">
        <f t="shared" si="8"/>
        <v>1</v>
      </c>
    </row>
    <row r="18" spans="1:41" x14ac:dyDescent="0.2">
      <c r="A18" s="502">
        <v>303</v>
      </c>
      <c r="B18" s="503">
        <v>0.375</v>
      </c>
      <c r="C18" s="504">
        <v>2013</v>
      </c>
      <c r="D18" s="504">
        <v>3</v>
      </c>
      <c r="E18" s="504">
        <v>16</v>
      </c>
      <c r="F18" s="505">
        <v>288841</v>
      </c>
      <c r="G18" s="504">
        <v>0</v>
      </c>
      <c r="H18" s="505">
        <v>13319</v>
      </c>
      <c r="I18" s="504">
        <v>0</v>
      </c>
      <c r="J18" s="504">
        <v>0</v>
      </c>
      <c r="K18" s="504">
        <v>0</v>
      </c>
      <c r="L18" s="506">
        <v>68.599999999999994</v>
      </c>
      <c r="M18" s="505">
        <v>205.6</v>
      </c>
      <c r="N18" s="507">
        <v>0</v>
      </c>
      <c r="O18" s="508">
        <v>571</v>
      </c>
      <c r="P18" s="493">
        <f t="shared" si="0"/>
        <v>571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571</v>
      </c>
      <c r="W18" s="515">
        <f t="shared" si="10"/>
        <v>20164.67657</v>
      </c>
      <c r="Y18" s="513">
        <f t="shared" si="11"/>
        <v>4.9978964259448553</v>
      </c>
      <c r="Z18" s="510">
        <f t="shared" si="12"/>
        <v>20.925192756145922</v>
      </c>
      <c r="AA18" s="511">
        <f t="shared" si="13"/>
        <v>19.83319970666054</v>
      </c>
      <c r="AE18" s="598" t="str">
        <f t="shared" si="3"/>
        <v>288841</v>
      </c>
      <c r="AF18" s="502"/>
      <c r="AG18" s="606"/>
      <c r="AH18" s="607"/>
      <c r="AI18" s="608">
        <f t="shared" si="4"/>
        <v>288841</v>
      </c>
      <c r="AJ18" s="609">
        <f t="shared" si="5"/>
        <v>288841</v>
      </c>
      <c r="AL18" s="602">
        <f t="shared" si="6"/>
        <v>289412</v>
      </c>
      <c r="AM18" s="610">
        <f t="shared" si="6"/>
        <v>571</v>
      </c>
      <c r="AN18" s="611">
        <f t="shared" si="7"/>
        <v>-288841</v>
      </c>
      <c r="AO18" s="612">
        <f t="shared" si="8"/>
        <v>-505.85113835376535</v>
      </c>
    </row>
    <row r="19" spans="1:41" x14ac:dyDescent="0.2">
      <c r="A19" s="502">
        <v>303</v>
      </c>
      <c r="B19" s="503">
        <v>0.375</v>
      </c>
      <c r="C19" s="504">
        <v>2013</v>
      </c>
      <c r="D19" s="504">
        <v>3</v>
      </c>
      <c r="E19" s="504">
        <v>17</v>
      </c>
      <c r="F19" s="505">
        <v>289412</v>
      </c>
      <c r="G19" s="504">
        <v>0</v>
      </c>
      <c r="H19" s="505">
        <v>13343</v>
      </c>
      <c r="I19" s="504">
        <v>0</v>
      </c>
      <c r="J19" s="504">
        <v>0</v>
      </c>
      <c r="K19" s="504">
        <v>0</v>
      </c>
      <c r="L19" s="506">
        <v>24.3</v>
      </c>
      <c r="M19" s="505">
        <v>196.7</v>
      </c>
      <c r="N19" s="507">
        <v>0</v>
      </c>
      <c r="O19" s="508">
        <v>0</v>
      </c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>289412</v>
      </c>
      <c r="AF19" s="502">
        <v>303</v>
      </c>
      <c r="AG19" s="606">
        <v>17</v>
      </c>
      <c r="AH19" s="607">
        <v>289412</v>
      </c>
      <c r="AI19" s="608">
        <f t="shared" si="4"/>
        <v>289412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>
        <v>303</v>
      </c>
      <c r="B20" s="503">
        <v>0.375</v>
      </c>
      <c r="C20" s="504">
        <v>2013</v>
      </c>
      <c r="D20" s="504">
        <v>3</v>
      </c>
      <c r="E20" s="504">
        <v>18</v>
      </c>
      <c r="F20" s="505">
        <v>289412</v>
      </c>
      <c r="G20" s="504">
        <v>0</v>
      </c>
      <c r="H20" s="505">
        <v>13343</v>
      </c>
      <c r="I20" s="504">
        <v>0</v>
      </c>
      <c r="J20" s="504">
        <v>0</v>
      </c>
      <c r="K20" s="504">
        <v>0</v>
      </c>
      <c r="L20" s="506">
        <v>0</v>
      </c>
      <c r="M20" s="505">
        <v>0</v>
      </c>
      <c r="N20" s="507">
        <v>0</v>
      </c>
      <c r="O20" s="508">
        <v>0</v>
      </c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>289412</v>
      </c>
      <c r="AF20" s="502">
        <v>303</v>
      </c>
      <c r="AG20" s="606">
        <v>18</v>
      </c>
      <c r="AH20" s="607">
        <v>289412</v>
      </c>
      <c r="AI20" s="608">
        <f t="shared" si="4"/>
        <v>289412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>
        <v>303</v>
      </c>
      <c r="B21" s="503">
        <v>0.375</v>
      </c>
      <c r="C21" s="504">
        <v>2013</v>
      </c>
      <c r="D21" s="504">
        <v>3</v>
      </c>
      <c r="E21" s="504">
        <v>19</v>
      </c>
      <c r="F21" s="505">
        <v>289412</v>
      </c>
      <c r="G21" s="504">
        <v>0</v>
      </c>
      <c r="H21" s="505">
        <v>13343</v>
      </c>
      <c r="I21" s="504">
        <v>0</v>
      </c>
      <c r="J21" s="504">
        <v>0</v>
      </c>
      <c r="K21" s="504">
        <v>0</v>
      </c>
      <c r="L21" s="506">
        <v>0</v>
      </c>
      <c r="M21" s="505">
        <v>0</v>
      </c>
      <c r="N21" s="507">
        <v>0</v>
      </c>
      <c r="O21" s="508">
        <v>358</v>
      </c>
      <c r="P21" s="493">
        <f t="shared" si="0"/>
        <v>358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358</v>
      </c>
      <c r="W21" s="515">
        <f t="shared" si="10"/>
        <v>12642.65186</v>
      </c>
      <c r="Y21" s="513">
        <f t="shared" si="11"/>
        <v>3.1335322600494893</v>
      </c>
      <c r="Z21" s="510">
        <f t="shared" si="12"/>
        <v>13.119472866375203</v>
      </c>
      <c r="AA21" s="511">
        <f t="shared" si="13"/>
        <v>12.434825735524472</v>
      </c>
      <c r="AE21" s="598" t="str">
        <f t="shared" si="3"/>
        <v>289412</v>
      </c>
      <c r="AF21" s="502">
        <v>303</v>
      </c>
      <c r="AG21" s="606">
        <v>19</v>
      </c>
      <c r="AH21" s="607">
        <v>289412</v>
      </c>
      <c r="AI21" s="608">
        <f t="shared" si="4"/>
        <v>289412</v>
      </c>
      <c r="AJ21" s="609">
        <f t="shared" si="5"/>
        <v>0</v>
      </c>
      <c r="AL21" s="602">
        <f t="shared" si="6"/>
        <v>364</v>
      </c>
      <c r="AM21" s="610">
        <f t="shared" si="6"/>
        <v>358</v>
      </c>
      <c r="AN21" s="611">
        <f t="shared" si="7"/>
        <v>-6</v>
      </c>
      <c r="AO21" s="612">
        <f t="shared" si="8"/>
        <v>-1.6759776536312849E-2</v>
      </c>
    </row>
    <row r="22" spans="1:41" x14ac:dyDescent="0.2">
      <c r="A22" s="502">
        <v>303</v>
      </c>
      <c r="B22" s="503">
        <v>0.375</v>
      </c>
      <c r="C22" s="504">
        <v>2013</v>
      </c>
      <c r="D22" s="504">
        <v>3</v>
      </c>
      <c r="E22" s="504">
        <v>20</v>
      </c>
      <c r="F22" s="505">
        <v>289770</v>
      </c>
      <c r="G22" s="504">
        <v>0</v>
      </c>
      <c r="H22" s="505">
        <v>13358</v>
      </c>
      <c r="I22" s="504">
        <v>0</v>
      </c>
      <c r="J22" s="504">
        <v>0</v>
      </c>
      <c r="K22" s="504">
        <v>0</v>
      </c>
      <c r="L22" s="506">
        <v>14.7</v>
      </c>
      <c r="M22" s="505">
        <v>205.5</v>
      </c>
      <c r="N22" s="507">
        <v>0</v>
      </c>
      <c r="O22" s="508">
        <v>1613</v>
      </c>
      <c r="P22" s="493">
        <f t="shared" si="0"/>
        <v>1613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1613</v>
      </c>
      <c r="W22" s="515">
        <f t="shared" si="10"/>
        <v>56962.562709999998</v>
      </c>
      <c r="Y22" s="513">
        <f t="shared" si="11"/>
        <v>14.11840093703862</v>
      </c>
      <c r="Z22" s="510">
        <f t="shared" si="12"/>
        <v>59.110921043193294</v>
      </c>
      <c r="AA22" s="511">
        <f t="shared" si="13"/>
        <v>56.02618411005858</v>
      </c>
      <c r="AE22" s="598" t="str">
        <f t="shared" si="3"/>
        <v>289770</v>
      </c>
      <c r="AF22" s="502">
        <v>303</v>
      </c>
      <c r="AG22" s="606">
        <v>20</v>
      </c>
      <c r="AH22" s="607">
        <v>289776</v>
      </c>
      <c r="AI22" s="608">
        <f t="shared" si="4"/>
        <v>289770</v>
      </c>
      <c r="AJ22" s="609">
        <f t="shared" si="5"/>
        <v>-6</v>
      </c>
      <c r="AL22" s="602">
        <f t="shared" si="6"/>
        <v>1615</v>
      </c>
      <c r="AM22" s="610">
        <f t="shared" si="6"/>
        <v>1613</v>
      </c>
      <c r="AN22" s="611">
        <f t="shared" si="7"/>
        <v>-2</v>
      </c>
      <c r="AO22" s="612">
        <f t="shared" si="8"/>
        <v>-1.2399256044637321E-3</v>
      </c>
    </row>
    <row r="23" spans="1:41" x14ac:dyDescent="0.2">
      <c r="A23" s="502">
        <v>303</v>
      </c>
      <c r="B23" s="503">
        <v>0.375</v>
      </c>
      <c r="C23" s="504">
        <v>2013</v>
      </c>
      <c r="D23" s="504">
        <v>3</v>
      </c>
      <c r="E23" s="504">
        <v>21</v>
      </c>
      <c r="F23" s="505">
        <v>291383</v>
      </c>
      <c r="G23" s="504">
        <v>0</v>
      </c>
      <c r="H23" s="505">
        <v>13428</v>
      </c>
      <c r="I23" s="504">
        <v>0</v>
      </c>
      <c r="J23" s="504">
        <v>0</v>
      </c>
      <c r="K23" s="504">
        <v>0</v>
      </c>
      <c r="L23" s="506">
        <v>67.5</v>
      </c>
      <c r="M23" s="505">
        <v>204.2</v>
      </c>
      <c r="N23" s="507">
        <v>0</v>
      </c>
      <c r="O23" s="508">
        <v>1412</v>
      </c>
      <c r="P23" s="493">
        <f t="shared" si="0"/>
        <v>1412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1412</v>
      </c>
      <c r="W23" s="515">
        <f t="shared" si="10"/>
        <v>49864.314039999997</v>
      </c>
      <c r="Y23" s="513">
        <f t="shared" si="11"/>
        <v>12.359071372038766</v>
      </c>
      <c r="Z23" s="510">
        <f t="shared" si="12"/>
        <v>51.744960020451913</v>
      </c>
      <c r="AA23" s="511">
        <f t="shared" si="13"/>
        <v>49.044619940113279</v>
      </c>
      <c r="AE23" s="598" t="str">
        <f t="shared" si="3"/>
        <v>291383</v>
      </c>
      <c r="AF23" s="502">
        <v>303</v>
      </c>
      <c r="AG23" s="606">
        <v>21</v>
      </c>
      <c r="AH23" s="607">
        <v>291391</v>
      </c>
      <c r="AI23" s="608">
        <f t="shared" si="4"/>
        <v>291383</v>
      </c>
      <c r="AJ23" s="609">
        <f t="shared" si="5"/>
        <v>-8</v>
      </c>
      <c r="AL23" s="602">
        <f t="shared" si="6"/>
        <v>1410</v>
      </c>
      <c r="AM23" s="610">
        <f t="shared" si="6"/>
        <v>1412</v>
      </c>
      <c r="AN23" s="611">
        <f t="shared" si="7"/>
        <v>2</v>
      </c>
      <c r="AO23" s="612">
        <f t="shared" si="8"/>
        <v>1.4164305949008499E-3</v>
      </c>
    </row>
    <row r="24" spans="1:41" x14ac:dyDescent="0.2">
      <c r="A24" s="502">
        <v>303</v>
      </c>
      <c r="B24" s="503">
        <v>0.375</v>
      </c>
      <c r="C24" s="504">
        <v>2013</v>
      </c>
      <c r="D24" s="504">
        <v>3</v>
      </c>
      <c r="E24" s="504">
        <v>22</v>
      </c>
      <c r="F24" s="505">
        <v>292795</v>
      </c>
      <c r="G24" s="504">
        <v>0</v>
      </c>
      <c r="H24" s="505">
        <v>13490</v>
      </c>
      <c r="I24" s="504">
        <v>0</v>
      </c>
      <c r="J24" s="504">
        <v>0</v>
      </c>
      <c r="K24" s="504">
        <v>0</v>
      </c>
      <c r="L24" s="506">
        <v>59.1</v>
      </c>
      <c r="M24" s="505">
        <v>205.5</v>
      </c>
      <c r="N24" s="507">
        <v>0</v>
      </c>
      <c r="O24" s="508">
        <v>1616</v>
      </c>
      <c r="P24" s="493">
        <f t="shared" si="0"/>
        <v>1616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1616</v>
      </c>
      <c r="W24" s="515">
        <f t="shared" si="10"/>
        <v>57068.506719999998</v>
      </c>
      <c r="Y24" s="513">
        <f t="shared" si="11"/>
        <v>14.144659587262499</v>
      </c>
      <c r="Z24" s="510">
        <f t="shared" si="12"/>
        <v>59.220860759950632</v>
      </c>
      <c r="AA24" s="511">
        <f t="shared" si="13"/>
        <v>56.130386560356271</v>
      </c>
      <c r="AE24" s="598" t="str">
        <f t="shared" si="3"/>
        <v>292795</v>
      </c>
      <c r="AF24" s="502">
        <v>303</v>
      </c>
      <c r="AG24" s="606">
        <v>22</v>
      </c>
      <c r="AH24" s="607">
        <v>292801</v>
      </c>
      <c r="AI24" s="608">
        <f t="shared" si="4"/>
        <v>292795</v>
      </c>
      <c r="AJ24" s="609">
        <f t="shared" si="5"/>
        <v>-6</v>
      </c>
      <c r="AL24" s="602">
        <f t="shared" si="6"/>
        <v>1619</v>
      </c>
      <c r="AM24" s="610">
        <f t="shared" si="6"/>
        <v>1616</v>
      </c>
      <c r="AN24" s="611">
        <f t="shared" si="7"/>
        <v>-3</v>
      </c>
      <c r="AO24" s="612">
        <f t="shared" si="8"/>
        <v>-1.8564356435643563E-3</v>
      </c>
    </row>
    <row r="25" spans="1:41" x14ac:dyDescent="0.2">
      <c r="A25" s="502">
        <v>303</v>
      </c>
      <c r="B25" s="503">
        <v>0.375</v>
      </c>
      <c r="C25" s="504">
        <v>2013</v>
      </c>
      <c r="D25" s="504">
        <v>3</v>
      </c>
      <c r="E25" s="504">
        <v>23</v>
      </c>
      <c r="F25" s="505">
        <v>294411</v>
      </c>
      <c r="G25" s="504">
        <v>0</v>
      </c>
      <c r="H25" s="505">
        <v>13561</v>
      </c>
      <c r="I25" s="504">
        <v>0</v>
      </c>
      <c r="J25" s="504">
        <v>0</v>
      </c>
      <c r="K25" s="504">
        <v>0</v>
      </c>
      <c r="L25" s="506">
        <v>67.599999999999994</v>
      </c>
      <c r="M25" s="505">
        <v>207.2</v>
      </c>
      <c r="N25" s="507">
        <v>0</v>
      </c>
      <c r="O25" s="508">
        <v>537</v>
      </c>
      <c r="P25" s="493">
        <f t="shared" si="0"/>
        <v>537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537</v>
      </c>
      <c r="W25" s="515">
        <f t="shared" si="10"/>
        <v>18963.977790000001</v>
      </c>
      <c r="Y25" s="513">
        <f t="shared" si="11"/>
        <v>4.7002983900742334</v>
      </c>
      <c r="Z25" s="510">
        <f t="shared" si="12"/>
        <v>19.6792092995628</v>
      </c>
      <c r="AA25" s="511">
        <f t="shared" si="13"/>
        <v>18.652238603286708</v>
      </c>
      <c r="AE25" s="598" t="str">
        <f t="shared" si="3"/>
        <v>294411</v>
      </c>
      <c r="AF25" s="502">
        <v>303</v>
      </c>
      <c r="AG25" s="606">
        <v>23</v>
      </c>
      <c r="AH25" s="607">
        <v>294420</v>
      </c>
      <c r="AI25" s="608">
        <f t="shared" si="4"/>
        <v>294411</v>
      </c>
      <c r="AJ25" s="609">
        <f t="shared" si="5"/>
        <v>-9</v>
      </c>
      <c r="AL25" s="602">
        <f t="shared" si="6"/>
        <v>528</v>
      </c>
      <c r="AM25" s="610">
        <f t="shared" si="6"/>
        <v>537</v>
      </c>
      <c r="AN25" s="611">
        <f t="shared" si="7"/>
        <v>9</v>
      </c>
      <c r="AO25" s="612">
        <f t="shared" si="8"/>
        <v>1.6759776536312849E-2</v>
      </c>
    </row>
    <row r="26" spans="1:41" x14ac:dyDescent="0.2">
      <c r="A26" s="502">
        <v>303</v>
      </c>
      <c r="B26" s="503">
        <v>0.375</v>
      </c>
      <c r="C26" s="504">
        <v>2013</v>
      </c>
      <c r="D26" s="504">
        <v>3</v>
      </c>
      <c r="E26" s="504">
        <v>24</v>
      </c>
      <c r="F26" s="505">
        <v>294948</v>
      </c>
      <c r="G26" s="504">
        <v>0</v>
      </c>
      <c r="H26" s="505">
        <v>13585</v>
      </c>
      <c r="I26" s="504">
        <v>0</v>
      </c>
      <c r="J26" s="504">
        <v>0</v>
      </c>
      <c r="K26" s="504">
        <v>0</v>
      </c>
      <c r="L26" s="506">
        <v>22.8</v>
      </c>
      <c r="M26" s="505">
        <v>192.2</v>
      </c>
      <c r="N26" s="507">
        <v>0</v>
      </c>
      <c r="O26" s="508">
        <v>357</v>
      </c>
      <c r="P26" s="493">
        <f t="shared" si="0"/>
        <v>357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357</v>
      </c>
      <c r="W26" s="515">
        <f t="shared" si="10"/>
        <v>12607.33719</v>
      </c>
      <c r="Y26" s="513">
        <f t="shared" si="11"/>
        <v>3.1247793766415297</v>
      </c>
      <c r="Z26" s="510">
        <f t="shared" si="12"/>
        <v>13.082826294122757</v>
      </c>
      <c r="AA26" s="511">
        <f t="shared" si="13"/>
        <v>12.400091585425242</v>
      </c>
      <c r="AE26" s="598" t="str">
        <f t="shared" si="3"/>
        <v>294948</v>
      </c>
      <c r="AF26" s="502">
        <v>303</v>
      </c>
      <c r="AG26" s="606">
        <v>24</v>
      </c>
      <c r="AH26" s="607">
        <v>294948</v>
      </c>
      <c r="AI26" s="608">
        <f t="shared" si="4"/>
        <v>294948</v>
      </c>
      <c r="AJ26" s="609">
        <f t="shared" si="5"/>
        <v>0</v>
      </c>
      <c r="AL26" s="602">
        <f t="shared" si="6"/>
        <v>364</v>
      </c>
      <c r="AM26" s="610">
        <f t="shared" si="6"/>
        <v>357</v>
      </c>
      <c r="AN26" s="611">
        <f t="shared" si="7"/>
        <v>-7</v>
      </c>
      <c r="AO26" s="612">
        <f t="shared" si="8"/>
        <v>-1.9607843137254902E-2</v>
      </c>
    </row>
    <row r="27" spans="1:41" x14ac:dyDescent="0.2">
      <c r="A27" s="502">
        <v>303</v>
      </c>
      <c r="B27" s="503">
        <v>0.375</v>
      </c>
      <c r="C27" s="504">
        <v>2013</v>
      </c>
      <c r="D27" s="504">
        <v>3</v>
      </c>
      <c r="E27" s="504">
        <v>25</v>
      </c>
      <c r="F27" s="505">
        <v>295305</v>
      </c>
      <c r="G27" s="504">
        <v>0</v>
      </c>
      <c r="H27" s="505">
        <v>13600</v>
      </c>
      <c r="I27" s="504">
        <v>0</v>
      </c>
      <c r="J27" s="504">
        <v>0</v>
      </c>
      <c r="K27" s="504">
        <v>0</v>
      </c>
      <c r="L27" s="506">
        <v>14.7</v>
      </c>
      <c r="M27" s="505">
        <v>208.7</v>
      </c>
      <c r="N27" s="507">
        <v>0</v>
      </c>
      <c r="O27" s="508">
        <v>1611</v>
      </c>
      <c r="P27" s="493">
        <f t="shared" si="0"/>
        <v>1611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1611</v>
      </c>
      <c r="W27" s="515">
        <f t="shared" si="10"/>
        <v>56891.933369999999</v>
      </c>
      <c r="Y27" s="513">
        <f t="shared" si="11"/>
        <v>14.100895170222701</v>
      </c>
      <c r="Z27" s="510">
        <f t="shared" si="12"/>
        <v>59.037627898688406</v>
      </c>
      <c r="AA27" s="511">
        <f t="shared" si="13"/>
        <v>55.956715809860128</v>
      </c>
      <c r="AE27" s="598" t="str">
        <f t="shared" si="3"/>
        <v>295305</v>
      </c>
      <c r="AF27" s="502">
        <v>303</v>
      </c>
      <c r="AG27" s="606">
        <v>25</v>
      </c>
      <c r="AH27" s="607">
        <v>295312</v>
      </c>
      <c r="AI27" s="608">
        <f t="shared" si="4"/>
        <v>295305</v>
      </c>
      <c r="AJ27" s="609">
        <f t="shared" si="5"/>
        <v>-7</v>
      </c>
      <c r="AL27" s="602">
        <f t="shared" si="6"/>
        <v>1611</v>
      </c>
      <c r="AM27" s="610">
        <f t="shared" si="6"/>
        <v>1611</v>
      </c>
      <c r="AN27" s="611">
        <f t="shared" si="7"/>
        <v>0</v>
      </c>
      <c r="AO27" s="612">
        <f t="shared" si="8"/>
        <v>0</v>
      </c>
    </row>
    <row r="28" spans="1:41" x14ac:dyDescent="0.2">
      <c r="A28" s="502">
        <v>303</v>
      </c>
      <c r="B28" s="503">
        <v>0.375</v>
      </c>
      <c r="C28" s="504">
        <v>2013</v>
      </c>
      <c r="D28" s="504">
        <v>3</v>
      </c>
      <c r="E28" s="504">
        <v>26</v>
      </c>
      <c r="F28" s="505">
        <v>296916</v>
      </c>
      <c r="G28" s="504">
        <v>0</v>
      </c>
      <c r="H28" s="505">
        <v>13670</v>
      </c>
      <c r="I28" s="504">
        <v>0</v>
      </c>
      <c r="J28" s="504">
        <v>0</v>
      </c>
      <c r="K28" s="504">
        <v>0</v>
      </c>
      <c r="L28" s="506">
        <v>67.3</v>
      </c>
      <c r="M28" s="505">
        <v>206.9</v>
      </c>
      <c r="N28" s="507">
        <v>0</v>
      </c>
      <c r="O28" s="508">
        <v>1673</v>
      </c>
      <c r="P28" s="493">
        <f t="shared" si="0"/>
        <v>1673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1673</v>
      </c>
      <c r="W28" s="515">
        <f t="shared" si="10"/>
        <v>59081.442909999998</v>
      </c>
      <c r="Y28" s="513">
        <f t="shared" si="11"/>
        <v>14.643573941516189</v>
      </c>
      <c r="Z28" s="510">
        <f t="shared" si="12"/>
        <v>61.309715378339973</v>
      </c>
      <c r="AA28" s="511">
        <f t="shared" si="13"/>
        <v>58.110233116012409</v>
      </c>
      <c r="AE28" s="598" t="str">
        <f t="shared" si="3"/>
        <v>296916</v>
      </c>
      <c r="AF28" s="502">
        <v>303</v>
      </c>
      <c r="AG28" s="606">
        <v>26</v>
      </c>
      <c r="AH28" s="607">
        <v>296923</v>
      </c>
      <c r="AI28" s="608">
        <f t="shared" si="4"/>
        <v>296916</v>
      </c>
      <c r="AJ28" s="609">
        <f t="shared" si="5"/>
        <v>-7</v>
      </c>
      <c r="AL28" s="602">
        <f t="shared" si="6"/>
        <v>1675</v>
      </c>
      <c r="AM28" s="610">
        <f t="shared" si="6"/>
        <v>1673</v>
      </c>
      <c r="AN28" s="611">
        <f t="shared" si="7"/>
        <v>-2</v>
      </c>
      <c r="AO28" s="612">
        <f t="shared" si="8"/>
        <v>-1.195457262402869E-3</v>
      </c>
    </row>
    <row r="29" spans="1:41" x14ac:dyDescent="0.2">
      <c r="A29" s="502">
        <v>303</v>
      </c>
      <c r="B29" s="503">
        <v>0.375</v>
      </c>
      <c r="C29" s="504">
        <v>2013</v>
      </c>
      <c r="D29" s="504">
        <v>3</v>
      </c>
      <c r="E29" s="504">
        <v>27</v>
      </c>
      <c r="F29" s="505">
        <v>298589</v>
      </c>
      <c r="G29" s="504">
        <v>0</v>
      </c>
      <c r="H29" s="505">
        <v>13743</v>
      </c>
      <c r="I29" s="504">
        <v>0</v>
      </c>
      <c r="J29" s="504">
        <v>0</v>
      </c>
      <c r="K29" s="504">
        <v>0</v>
      </c>
      <c r="L29" s="506">
        <v>69.900000000000006</v>
      </c>
      <c r="M29" s="505">
        <v>207.9</v>
      </c>
      <c r="N29" s="507">
        <v>0</v>
      </c>
      <c r="O29" s="508">
        <v>1207</v>
      </c>
      <c r="P29" s="493">
        <f t="shared" si="0"/>
        <v>1207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1207</v>
      </c>
      <c r="W29" s="515">
        <f t="shared" si="10"/>
        <v>42624.806689999998</v>
      </c>
      <c r="Y29" s="513">
        <f t="shared" si="11"/>
        <v>10.564730273407077</v>
      </c>
      <c r="Z29" s="510">
        <f t="shared" si="12"/>
        <v>44.23241270870075</v>
      </c>
      <c r="AA29" s="511">
        <f t="shared" si="13"/>
        <v>41.924119169771053</v>
      </c>
      <c r="AE29" s="598" t="str">
        <f t="shared" si="3"/>
        <v>298589</v>
      </c>
      <c r="AF29" s="502">
        <v>303</v>
      </c>
      <c r="AG29" s="606">
        <v>27</v>
      </c>
      <c r="AH29" s="607">
        <v>298598</v>
      </c>
      <c r="AI29" s="608">
        <f t="shared" si="4"/>
        <v>298589</v>
      </c>
      <c r="AJ29" s="609">
        <f t="shared" si="5"/>
        <v>-9</v>
      </c>
      <c r="AL29" s="602">
        <f t="shared" si="6"/>
        <v>1197</v>
      </c>
      <c r="AM29" s="610">
        <f t="shared" si="6"/>
        <v>1207</v>
      </c>
      <c r="AN29" s="611">
        <f t="shared" si="7"/>
        <v>10</v>
      </c>
      <c r="AO29" s="612">
        <f t="shared" si="8"/>
        <v>8.2850041425020712E-3</v>
      </c>
    </row>
    <row r="30" spans="1:41" x14ac:dyDescent="0.2">
      <c r="A30" s="502">
        <v>303</v>
      </c>
      <c r="B30" s="503">
        <v>0.375</v>
      </c>
      <c r="C30" s="504">
        <v>2013</v>
      </c>
      <c r="D30" s="504">
        <v>3</v>
      </c>
      <c r="E30" s="504">
        <v>28</v>
      </c>
      <c r="F30" s="505">
        <v>299796</v>
      </c>
      <c r="G30" s="504">
        <v>0</v>
      </c>
      <c r="H30" s="505">
        <v>13795</v>
      </c>
      <c r="I30" s="504">
        <v>0</v>
      </c>
      <c r="J30" s="504">
        <v>0</v>
      </c>
      <c r="K30" s="504">
        <v>0</v>
      </c>
      <c r="L30" s="506">
        <v>50.7</v>
      </c>
      <c r="M30" s="505">
        <v>195.3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299796</v>
      </c>
      <c r="AF30" s="502">
        <v>303</v>
      </c>
      <c r="AG30" s="606">
        <v>28</v>
      </c>
      <c r="AH30" s="607">
        <v>299795</v>
      </c>
      <c r="AI30" s="608">
        <f t="shared" si="4"/>
        <v>299796</v>
      </c>
      <c r="AJ30" s="609">
        <f t="shared" si="5"/>
        <v>1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303</v>
      </c>
      <c r="B31" s="503">
        <v>0.375</v>
      </c>
      <c r="C31" s="504">
        <v>2013</v>
      </c>
      <c r="D31" s="504">
        <v>3</v>
      </c>
      <c r="E31" s="504">
        <v>29</v>
      </c>
      <c r="F31" s="505">
        <v>299796</v>
      </c>
      <c r="G31" s="504">
        <v>0</v>
      </c>
      <c r="H31" s="505">
        <v>13795</v>
      </c>
      <c r="I31" s="504">
        <v>0</v>
      </c>
      <c r="J31" s="504">
        <v>0</v>
      </c>
      <c r="K31" s="504">
        <v>0</v>
      </c>
      <c r="L31" s="506">
        <v>0</v>
      </c>
      <c r="M31" s="505">
        <v>0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299796</v>
      </c>
      <c r="AF31" s="502">
        <v>303</v>
      </c>
      <c r="AG31" s="606">
        <v>29</v>
      </c>
      <c r="AH31" s="607">
        <v>299795</v>
      </c>
      <c r="AI31" s="608">
        <f t="shared" si="4"/>
        <v>299796</v>
      </c>
      <c r="AJ31" s="609">
        <f t="shared" si="5"/>
        <v>1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303</v>
      </c>
      <c r="B32" s="503">
        <v>0.375</v>
      </c>
      <c r="C32" s="504">
        <v>2013</v>
      </c>
      <c r="D32" s="504">
        <v>3</v>
      </c>
      <c r="E32" s="504">
        <v>30</v>
      </c>
      <c r="F32" s="505">
        <v>299796</v>
      </c>
      <c r="G32" s="504">
        <v>0</v>
      </c>
      <c r="H32" s="505">
        <v>13795</v>
      </c>
      <c r="I32" s="504">
        <v>0</v>
      </c>
      <c r="J32" s="504">
        <v>0</v>
      </c>
      <c r="K32" s="504">
        <v>0</v>
      </c>
      <c r="L32" s="506">
        <v>0</v>
      </c>
      <c r="M32" s="505">
        <v>0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299796</v>
      </c>
      <c r="AF32" s="502">
        <v>303</v>
      </c>
      <c r="AG32" s="606">
        <v>30</v>
      </c>
      <c r="AH32" s="607">
        <v>299795</v>
      </c>
      <c r="AI32" s="608">
        <f t="shared" si="4"/>
        <v>299796</v>
      </c>
      <c r="AJ32" s="609">
        <f t="shared" si="5"/>
        <v>1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303</v>
      </c>
      <c r="B33" s="503">
        <v>0.375</v>
      </c>
      <c r="C33" s="504">
        <v>2013</v>
      </c>
      <c r="D33" s="504">
        <v>3</v>
      </c>
      <c r="E33" s="504">
        <v>31</v>
      </c>
      <c r="F33" s="505">
        <v>299796</v>
      </c>
      <c r="G33" s="504">
        <v>0</v>
      </c>
      <c r="H33" s="505">
        <v>13795</v>
      </c>
      <c r="I33" s="504">
        <v>0</v>
      </c>
      <c r="J33" s="504">
        <v>0</v>
      </c>
      <c r="K33" s="504">
        <v>0</v>
      </c>
      <c r="L33" s="506">
        <v>0</v>
      </c>
      <c r="M33" s="505">
        <v>0</v>
      </c>
      <c r="N33" s="507">
        <v>0</v>
      </c>
      <c r="O33" s="508">
        <v>0</v>
      </c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>299796</v>
      </c>
      <c r="AF33" s="502">
        <v>303</v>
      </c>
      <c r="AG33" s="606">
        <v>31</v>
      </c>
      <c r="AH33" s="607">
        <v>299795</v>
      </c>
      <c r="AI33" s="608">
        <f t="shared" si="4"/>
        <v>299796</v>
      </c>
      <c r="AJ33" s="609">
        <f t="shared" si="5"/>
        <v>1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>
        <v>303</v>
      </c>
      <c r="B34" s="520">
        <v>0.375</v>
      </c>
      <c r="C34" s="146">
        <v>2013</v>
      </c>
      <c r="D34" s="146">
        <v>4</v>
      </c>
      <c r="E34" s="146">
        <v>1</v>
      </c>
      <c r="F34" s="521">
        <v>299796</v>
      </c>
      <c r="G34" s="146">
        <v>0</v>
      </c>
      <c r="H34" s="521">
        <v>13795</v>
      </c>
      <c r="I34" s="146">
        <v>0</v>
      </c>
      <c r="J34" s="146">
        <v>0</v>
      </c>
      <c r="K34" s="146">
        <v>0</v>
      </c>
      <c r="L34" s="522">
        <v>0</v>
      </c>
      <c r="M34" s="521">
        <v>0</v>
      </c>
      <c r="N34" s="523">
        <v>0</v>
      </c>
      <c r="O34" s="524">
        <v>351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299796</v>
      </c>
      <c r="AF34" s="148">
        <v>303</v>
      </c>
      <c r="AG34" s="614">
        <v>1</v>
      </c>
      <c r="AH34" s="615">
        <v>299795</v>
      </c>
      <c r="AI34" s="616">
        <f t="shared" si="4"/>
        <v>299796</v>
      </c>
      <c r="AJ34" s="617">
        <f t="shared" si="5"/>
        <v>1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88.472200000000001</v>
      </c>
      <c r="M36" s="535">
        <f>MAX(M3:M34)</f>
        <v>211</v>
      </c>
      <c r="N36" s="533" t="s">
        <v>68</v>
      </c>
      <c r="O36" s="535">
        <f>SUM(O3:O33)</f>
        <v>27210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27210</v>
      </c>
      <c r="W36" s="539">
        <f>SUM(W3:W33)</f>
        <v>960912.17069999978</v>
      </c>
      <c r="Y36" s="540">
        <f>SUM(Y3:Y33)</f>
        <v>236.88316511523615</v>
      </c>
      <c r="Z36" s="541">
        <f>SUM(Z3:Z33)</f>
        <v>991.78243570447069</v>
      </c>
      <c r="AA36" s="542">
        <f>SUM(AA3:AA33)</f>
        <v>940.02570691291066</v>
      </c>
      <c r="AF36" s="621" t="s">
        <v>208</v>
      </c>
      <c r="AG36" s="534">
        <f>COUNT(AG3:AG34)</f>
        <v>30</v>
      </c>
      <c r="AJ36" s="622">
        <f>SUM(AJ3:AJ33)</f>
        <v>575954</v>
      </c>
      <c r="AK36" s="623" t="s">
        <v>176</v>
      </c>
      <c r="AL36" s="624"/>
      <c r="AM36" s="624"/>
      <c r="AN36" s="622">
        <f>SUM(AN3:AN33)</f>
        <v>1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38.361631250000009</v>
      </c>
      <c r="M37" s="543">
        <f>AVERAGE(M3:M34)</f>
        <v>145.74374999999998</v>
      </c>
      <c r="N37" s="533" t="s">
        <v>172</v>
      </c>
      <c r="O37" s="544">
        <f>O36*35.31467</f>
        <v>960912.17070000002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</v>
      </c>
      <c r="AN37" s="627">
        <f>IFERROR(AN36/SUM(AM3:AM33),"")</f>
        <v>3.6751194413818446E-5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42.197794375000015</v>
      </c>
      <c r="M44" s="551">
        <f>M37*(1+$L$43)</f>
        <v>160.31812499999998</v>
      </c>
    </row>
    <row r="45" spans="1:41" x14ac:dyDescent="0.2">
      <c r="K45" s="550" t="s">
        <v>186</v>
      </c>
      <c r="L45" s="551">
        <f>L37*(1-$L$43)</f>
        <v>34.52546812500001</v>
      </c>
      <c r="M45" s="551">
        <f>M37*(1-$L$43)</f>
        <v>131.16937499999997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307</v>
      </c>
      <c r="B3" s="487">
        <v>0.375</v>
      </c>
      <c r="C3" s="488">
        <v>2013</v>
      </c>
      <c r="D3" s="488">
        <v>3</v>
      </c>
      <c r="E3" s="488">
        <v>1</v>
      </c>
      <c r="F3" s="489">
        <v>717231</v>
      </c>
      <c r="G3" s="488">
        <v>0</v>
      </c>
      <c r="H3" s="489">
        <v>21336</v>
      </c>
      <c r="I3" s="488">
        <v>0</v>
      </c>
      <c r="J3" s="488">
        <v>0</v>
      </c>
      <c r="K3" s="488">
        <v>0</v>
      </c>
      <c r="L3" s="490">
        <v>88.678399999999996</v>
      </c>
      <c r="M3" s="489">
        <v>21.9</v>
      </c>
      <c r="N3" s="491">
        <v>0</v>
      </c>
      <c r="O3" s="492">
        <v>5655</v>
      </c>
      <c r="P3" s="493">
        <f>F4-F3</f>
        <v>5655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5655</v>
      </c>
      <c r="W3" s="498">
        <f>V3*35.31467</f>
        <v>199704.45885</v>
      </c>
      <c r="X3" s="497"/>
      <c r="Y3" s="499">
        <f>V3*R3/1000000</f>
        <v>48.772787140953625</v>
      </c>
      <c r="Z3" s="500">
        <f>S3*V3/1000000</f>
        <v>204.20190520174461</v>
      </c>
      <c r="AA3" s="501">
        <f>W3*T3/1000000</f>
        <v>193.54551298731761</v>
      </c>
      <c r="AE3" s="598" t="str">
        <f>RIGHT(F3,6)</f>
        <v>717231</v>
      </c>
      <c r="AF3" s="486">
        <v>307</v>
      </c>
      <c r="AG3" s="491">
        <v>1</v>
      </c>
      <c r="AH3" s="599">
        <v>717231</v>
      </c>
      <c r="AI3" s="600">
        <f>IFERROR(AE3*1,0)</f>
        <v>717231</v>
      </c>
      <c r="AJ3" s="601">
        <f>(AI3-AH3)</f>
        <v>0</v>
      </c>
      <c r="AL3" s="602">
        <f>AH4-AH3</f>
        <v>5673</v>
      </c>
      <c r="AM3" s="603">
        <f>AI4-AI3</f>
        <v>5655</v>
      </c>
      <c r="AN3" s="604">
        <f>(AM3-AL3)</f>
        <v>-18</v>
      </c>
      <c r="AO3" s="605">
        <f>IFERROR(AN3/AM3,"")</f>
        <v>-3.183023872679045E-3</v>
      </c>
    </row>
    <row r="4" spans="1:41" x14ac:dyDescent="0.2">
      <c r="A4" s="502">
        <v>307</v>
      </c>
      <c r="B4" s="503">
        <v>0.375</v>
      </c>
      <c r="C4" s="504">
        <v>2013</v>
      </c>
      <c r="D4" s="504">
        <v>3</v>
      </c>
      <c r="E4" s="504">
        <v>2</v>
      </c>
      <c r="F4" s="505">
        <v>722886</v>
      </c>
      <c r="G4" s="504">
        <v>0</v>
      </c>
      <c r="H4" s="505">
        <v>77005</v>
      </c>
      <c r="I4" s="504">
        <v>0</v>
      </c>
      <c r="J4" s="504">
        <v>0</v>
      </c>
      <c r="K4" s="504">
        <v>0</v>
      </c>
      <c r="L4" s="506">
        <v>310.20609999999999</v>
      </c>
      <c r="M4" s="505">
        <v>15.3</v>
      </c>
      <c r="N4" s="507">
        <v>0</v>
      </c>
      <c r="O4" s="508">
        <v>6599</v>
      </c>
      <c r="P4" s="493">
        <f t="shared" ref="P4:P33" si="0">F5-F4</f>
        <v>6599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6599</v>
      </c>
      <c r="W4" s="512">
        <f>V4*35.31467</f>
        <v>233041.50732999999</v>
      </c>
      <c r="X4" s="497"/>
      <c r="Y4" s="513">
        <f>V4*R4/1000000</f>
        <v>56.864664729305467</v>
      </c>
      <c r="Z4" s="510">
        <f>S4*V4/1000000</f>
        <v>238.08097828865613</v>
      </c>
      <c r="AA4" s="511">
        <f>W4*T4/1000000</f>
        <v>225.65658743426206</v>
      </c>
      <c r="AE4" s="598" t="str">
        <f t="shared" ref="AE4:AE34" si="3">RIGHT(F4,6)</f>
        <v>722886</v>
      </c>
      <c r="AF4" s="502">
        <v>307</v>
      </c>
      <c r="AG4" s="606">
        <v>2</v>
      </c>
      <c r="AH4" s="607">
        <v>722904</v>
      </c>
      <c r="AI4" s="608">
        <f t="shared" ref="AI4:AI34" si="4">IFERROR(AE4*1,0)</f>
        <v>722886</v>
      </c>
      <c r="AJ4" s="609">
        <f t="shared" ref="AJ4:AJ34" si="5">(AI4-AH4)</f>
        <v>-18</v>
      </c>
      <c r="AL4" s="602">
        <f t="shared" ref="AL4:AM33" si="6">AH5-AH4</f>
        <v>6602</v>
      </c>
      <c r="AM4" s="610">
        <f t="shared" si="6"/>
        <v>6599</v>
      </c>
      <c r="AN4" s="611">
        <f t="shared" ref="AN4:AN33" si="7">(AM4-AL4)</f>
        <v>-3</v>
      </c>
      <c r="AO4" s="612">
        <f t="shared" ref="AO4:AO33" si="8">IFERROR(AN4/AM4,"")</f>
        <v>-4.546143355053796E-4</v>
      </c>
    </row>
    <row r="5" spans="1:41" x14ac:dyDescent="0.2">
      <c r="A5" s="502">
        <v>307</v>
      </c>
      <c r="B5" s="503">
        <v>0.375</v>
      </c>
      <c r="C5" s="504">
        <v>2013</v>
      </c>
      <c r="D5" s="504">
        <v>3</v>
      </c>
      <c r="E5" s="504">
        <v>3</v>
      </c>
      <c r="F5" s="505">
        <v>729485</v>
      </c>
      <c r="G5" s="504">
        <v>0</v>
      </c>
      <c r="H5" s="505">
        <v>77281</v>
      </c>
      <c r="I5" s="504">
        <v>0</v>
      </c>
      <c r="J5" s="504">
        <v>0</v>
      </c>
      <c r="K5" s="504">
        <v>0</v>
      </c>
      <c r="L5" s="506">
        <v>316.1275</v>
      </c>
      <c r="M5" s="505">
        <v>12.4</v>
      </c>
      <c r="N5" s="507">
        <v>0</v>
      </c>
      <c r="O5" s="508">
        <v>6391</v>
      </c>
      <c r="P5" s="493">
        <f t="shared" si="0"/>
        <v>6391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6391</v>
      </c>
      <c r="W5" s="512">
        <f t="shared" ref="W5:W33" si="10">V5*35.31467</f>
        <v>225696.05596999999</v>
      </c>
      <c r="X5" s="497"/>
      <c r="Y5" s="513">
        <f t="shared" ref="Y5:Y33" si="11">V5*R5/1000000</f>
        <v>55.219373625882064</v>
      </c>
      <c r="Z5" s="510">
        <f t="shared" ref="Z5:Z33" si="12">S5*V5/1000000</f>
        <v>231.19247349684304</v>
      </c>
      <c r="AA5" s="511">
        <f t="shared" ref="AA5:AA33" si="13">W5*T5/1000000</f>
        <v>219.12756317109535</v>
      </c>
      <c r="AE5" s="598" t="str">
        <f t="shared" si="3"/>
        <v>729485</v>
      </c>
      <c r="AF5" s="502">
        <v>307</v>
      </c>
      <c r="AG5" s="606">
        <v>3</v>
      </c>
      <c r="AH5" s="607">
        <v>729506</v>
      </c>
      <c r="AI5" s="608">
        <f t="shared" si="4"/>
        <v>729485</v>
      </c>
      <c r="AJ5" s="609">
        <f t="shared" si="5"/>
        <v>-21</v>
      </c>
      <c r="AL5" s="602">
        <f t="shared" si="6"/>
        <v>6392</v>
      </c>
      <c r="AM5" s="610">
        <f t="shared" si="6"/>
        <v>6391</v>
      </c>
      <c r="AN5" s="611">
        <f t="shared" si="7"/>
        <v>-1</v>
      </c>
      <c r="AO5" s="612">
        <f t="shared" si="8"/>
        <v>-1.5647003598810827E-4</v>
      </c>
    </row>
    <row r="6" spans="1:41" x14ac:dyDescent="0.2">
      <c r="A6" s="502">
        <v>307</v>
      </c>
      <c r="B6" s="503">
        <v>0.375</v>
      </c>
      <c r="C6" s="504">
        <v>2013</v>
      </c>
      <c r="D6" s="504">
        <v>3</v>
      </c>
      <c r="E6" s="504">
        <v>4</v>
      </c>
      <c r="F6" s="505">
        <v>735876</v>
      </c>
      <c r="G6" s="504">
        <v>0</v>
      </c>
      <c r="H6" s="505">
        <v>77549</v>
      </c>
      <c r="I6" s="504">
        <v>0</v>
      </c>
      <c r="J6" s="504">
        <v>0</v>
      </c>
      <c r="K6" s="504">
        <v>0</v>
      </c>
      <c r="L6" s="506">
        <v>316.71039999999999</v>
      </c>
      <c r="M6" s="505">
        <v>14.3</v>
      </c>
      <c r="N6" s="507">
        <v>0</v>
      </c>
      <c r="O6" s="508">
        <v>6235</v>
      </c>
      <c r="P6" s="493">
        <f t="shared" si="0"/>
        <v>6235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6235</v>
      </c>
      <c r="W6" s="512">
        <f t="shared" si="10"/>
        <v>220186.96745</v>
      </c>
      <c r="X6" s="497"/>
      <c r="Y6" s="513">
        <f t="shared" si="11"/>
        <v>54.063908598738578</v>
      </c>
      <c r="Z6" s="510">
        <f t="shared" si="12"/>
        <v>226.35477252119867</v>
      </c>
      <c r="AA6" s="511">
        <f t="shared" si="13"/>
        <v>214.54232036405449</v>
      </c>
      <c r="AE6" s="598" t="str">
        <f t="shared" si="3"/>
        <v>735876</v>
      </c>
      <c r="AF6" s="502">
        <v>307</v>
      </c>
      <c r="AG6" s="606">
        <v>4</v>
      </c>
      <c r="AH6" s="607">
        <v>735898</v>
      </c>
      <c r="AI6" s="608">
        <f t="shared" si="4"/>
        <v>735876</v>
      </c>
      <c r="AJ6" s="609">
        <f t="shared" si="5"/>
        <v>-22</v>
      </c>
      <c r="AL6" s="602">
        <f t="shared" si="6"/>
        <v>6232</v>
      </c>
      <c r="AM6" s="610">
        <f t="shared" si="6"/>
        <v>6235</v>
      </c>
      <c r="AN6" s="611">
        <f t="shared" si="7"/>
        <v>3</v>
      </c>
      <c r="AO6" s="612">
        <f t="shared" si="8"/>
        <v>4.8115477145148355E-4</v>
      </c>
    </row>
    <row r="7" spans="1:41" x14ac:dyDescent="0.2">
      <c r="A7" s="502">
        <v>307</v>
      </c>
      <c r="B7" s="503">
        <v>0.375</v>
      </c>
      <c r="C7" s="504">
        <v>2013</v>
      </c>
      <c r="D7" s="504">
        <v>3</v>
      </c>
      <c r="E7" s="504">
        <v>5</v>
      </c>
      <c r="F7" s="505">
        <v>742111</v>
      </c>
      <c r="G7" s="504">
        <v>0</v>
      </c>
      <c r="H7" s="505">
        <v>77821</v>
      </c>
      <c r="I7" s="504">
        <v>0</v>
      </c>
      <c r="J7" s="504">
        <v>0</v>
      </c>
      <c r="K7" s="504">
        <v>0</v>
      </c>
      <c r="L7" s="506">
        <v>307.40559999999999</v>
      </c>
      <c r="M7" s="505">
        <v>15.6</v>
      </c>
      <c r="N7" s="507">
        <v>0</v>
      </c>
      <c r="O7" s="508">
        <v>5700</v>
      </c>
      <c r="P7" s="493">
        <f t="shared" si="0"/>
        <v>5700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5700</v>
      </c>
      <c r="W7" s="512">
        <f t="shared" si="10"/>
        <v>201293.61900000001</v>
      </c>
      <c r="X7" s="497"/>
      <c r="Y7" s="513">
        <f t="shared" si="11"/>
        <v>49.383674614232426</v>
      </c>
      <c r="Z7" s="510">
        <f t="shared" si="12"/>
        <v>206.75956887486834</v>
      </c>
      <c r="AA7" s="511">
        <f t="shared" si="13"/>
        <v>195.96970353135143</v>
      </c>
      <c r="AE7" s="598" t="str">
        <f t="shared" si="3"/>
        <v>742111</v>
      </c>
      <c r="AF7" s="502">
        <v>307</v>
      </c>
      <c r="AG7" s="606">
        <v>5</v>
      </c>
      <c r="AH7" s="607">
        <v>742130</v>
      </c>
      <c r="AI7" s="608">
        <f t="shared" si="4"/>
        <v>742111</v>
      </c>
      <c r="AJ7" s="609">
        <f t="shared" si="5"/>
        <v>-19</v>
      </c>
      <c r="AL7" s="602">
        <f t="shared" si="6"/>
        <v>5700</v>
      </c>
      <c r="AM7" s="610">
        <f t="shared" si="6"/>
        <v>5700</v>
      </c>
      <c r="AN7" s="611">
        <f t="shared" si="7"/>
        <v>0</v>
      </c>
      <c r="AO7" s="612">
        <f t="shared" si="8"/>
        <v>0</v>
      </c>
    </row>
    <row r="8" spans="1:41" x14ac:dyDescent="0.2">
      <c r="A8" s="502">
        <v>307</v>
      </c>
      <c r="B8" s="503">
        <v>0.375</v>
      </c>
      <c r="C8" s="504">
        <v>2013</v>
      </c>
      <c r="D8" s="504">
        <v>3</v>
      </c>
      <c r="E8" s="504">
        <v>6</v>
      </c>
      <c r="F8" s="505">
        <v>747811</v>
      </c>
      <c r="G8" s="504">
        <v>0</v>
      </c>
      <c r="H8" s="505">
        <v>78063</v>
      </c>
      <c r="I8" s="504">
        <v>0</v>
      </c>
      <c r="J8" s="504">
        <v>0</v>
      </c>
      <c r="K8" s="504">
        <v>0</v>
      </c>
      <c r="L8" s="506">
        <v>317.31439999999998</v>
      </c>
      <c r="M8" s="505">
        <v>16.7</v>
      </c>
      <c r="N8" s="507">
        <v>0</v>
      </c>
      <c r="O8" s="508">
        <v>5869</v>
      </c>
      <c r="P8" s="493">
        <f t="shared" si="0"/>
        <v>5869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5869</v>
      </c>
      <c r="W8" s="512">
        <f t="shared" si="10"/>
        <v>207261.79822999999</v>
      </c>
      <c r="X8" s="497"/>
      <c r="Y8" s="513">
        <f t="shared" si="11"/>
        <v>50.926783328984392</v>
      </c>
      <c r="Z8" s="510">
        <f t="shared" si="12"/>
        <v>213.22025644179183</v>
      </c>
      <c r="AA8" s="511">
        <f t="shared" si="13"/>
        <v>202.09323645410063</v>
      </c>
      <c r="AE8" s="598" t="str">
        <f t="shared" si="3"/>
        <v>747811</v>
      </c>
      <c r="AF8" s="502">
        <v>307</v>
      </c>
      <c r="AG8" s="606">
        <v>6</v>
      </c>
      <c r="AH8" s="607">
        <v>747830</v>
      </c>
      <c r="AI8" s="608">
        <f t="shared" si="4"/>
        <v>747811</v>
      </c>
      <c r="AJ8" s="609">
        <f t="shared" si="5"/>
        <v>-19</v>
      </c>
      <c r="AL8" s="602">
        <f t="shared" si="6"/>
        <v>5870</v>
      </c>
      <c r="AM8" s="610">
        <f t="shared" si="6"/>
        <v>5869</v>
      </c>
      <c r="AN8" s="611">
        <f t="shared" si="7"/>
        <v>-1</v>
      </c>
      <c r="AO8" s="612">
        <f t="shared" si="8"/>
        <v>-1.7038677798602829E-4</v>
      </c>
    </row>
    <row r="9" spans="1:41" x14ac:dyDescent="0.2">
      <c r="A9" s="502">
        <v>307</v>
      </c>
      <c r="B9" s="503">
        <v>0.375</v>
      </c>
      <c r="C9" s="504">
        <v>2013</v>
      </c>
      <c r="D9" s="504">
        <v>3</v>
      </c>
      <c r="E9" s="504">
        <v>7</v>
      </c>
      <c r="F9" s="505">
        <v>753680</v>
      </c>
      <c r="G9" s="504">
        <v>0</v>
      </c>
      <c r="H9" s="505">
        <v>78308</v>
      </c>
      <c r="I9" s="504">
        <v>0</v>
      </c>
      <c r="J9" s="504">
        <v>0</v>
      </c>
      <c r="K9" s="504">
        <v>0</v>
      </c>
      <c r="L9" s="506">
        <v>320.69400000000002</v>
      </c>
      <c r="M9" s="505">
        <v>16.5</v>
      </c>
      <c r="N9" s="507">
        <v>0</v>
      </c>
      <c r="O9" s="508">
        <v>5768</v>
      </c>
      <c r="P9" s="493">
        <f t="shared" si="0"/>
        <v>5768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5768</v>
      </c>
      <c r="W9" s="512">
        <f t="shared" si="10"/>
        <v>203695.01655999999</v>
      </c>
      <c r="X9" s="497"/>
      <c r="Y9" s="513">
        <f t="shared" si="11"/>
        <v>50.090600278515609</v>
      </c>
      <c r="Z9" s="510">
        <f t="shared" si="12"/>
        <v>209.71932524608914</v>
      </c>
      <c r="AA9" s="511">
        <f t="shared" si="13"/>
        <v>198.77500333802786</v>
      </c>
      <c r="AE9" s="598" t="str">
        <f t="shared" si="3"/>
        <v>753680</v>
      </c>
      <c r="AF9" s="502">
        <v>307</v>
      </c>
      <c r="AG9" s="606">
        <v>7</v>
      </c>
      <c r="AH9" s="607">
        <v>753700</v>
      </c>
      <c r="AI9" s="608">
        <f t="shared" si="4"/>
        <v>753680</v>
      </c>
      <c r="AJ9" s="609">
        <f t="shared" si="5"/>
        <v>-20</v>
      </c>
      <c r="AL9" s="602">
        <f t="shared" si="6"/>
        <v>5768</v>
      </c>
      <c r="AM9" s="610">
        <f t="shared" si="6"/>
        <v>5768</v>
      </c>
      <c r="AN9" s="611">
        <f t="shared" si="7"/>
        <v>0</v>
      </c>
      <c r="AO9" s="612">
        <f t="shared" si="8"/>
        <v>0</v>
      </c>
    </row>
    <row r="10" spans="1:41" x14ac:dyDescent="0.2">
      <c r="A10" s="502">
        <v>307</v>
      </c>
      <c r="B10" s="503">
        <v>0.375</v>
      </c>
      <c r="C10" s="504">
        <v>2013</v>
      </c>
      <c r="D10" s="504">
        <v>3</v>
      </c>
      <c r="E10" s="504">
        <v>8</v>
      </c>
      <c r="F10" s="505">
        <v>759448</v>
      </c>
      <c r="G10" s="504">
        <v>0</v>
      </c>
      <c r="H10" s="505">
        <v>78552</v>
      </c>
      <c r="I10" s="504">
        <v>0</v>
      </c>
      <c r="J10" s="504">
        <v>0</v>
      </c>
      <c r="K10" s="504">
        <v>0</v>
      </c>
      <c r="L10" s="506">
        <v>319.69839999999999</v>
      </c>
      <c r="M10" s="505">
        <v>17.600000000000001</v>
      </c>
      <c r="N10" s="507">
        <v>0</v>
      </c>
      <c r="O10" s="508">
        <v>5965</v>
      </c>
      <c r="P10" s="493">
        <f t="shared" si="0"/>
        <v>5965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5965</v>
      </c>
      <c r="W10" s="512">
        <f t="shared" si="10"/>
        <v>210652.00654999999</v>
      </c>
      <c r="X10" s="497"/>
      <c r="Y10" s="513">
        <f t="shared" si="11"/>
        <v>51.778631564228796</v>
      </c>
      <c r="Z10" s="510">
        <f t="shared" si="12"/>
        <v>216.78677463311311</v>
      </c>
      <c r="AA10" s="511">
        <f t="shared" si="13"/>
        <v>205.47363387123488</v>
      </c>
      <c r="AE10" s="598" t="str">
        <f t="shared" si="3"/>
        <v>759448</v>
      </c>
      <c r="AF10" s="502">
        <v>307</v>
      </c>
      <c r="AG10" s="606">
        <v>8</v>
      </c>
      <c r="AH10" s="607">
        <v>759468</v>
      </c>
      <c r="AI10" s="608">
        <f t="shared" si="4"/>
        <v>759448</v>
      </c>
      <c r="AJ10" s="609">
        <f t="shared" si="5"/>
        <v>-20</v>
      </c>
      <c r="AL10" s="602">
        <f t="shared" si="6"/>
        <v>5963</v>
      </c>
      <c r="AM10" s="610">
        <f t="shared" si="6"/>
        <v>5965</v>
      </c>
      <c r="AN10" s="611">
        <f t="shared" si="7"/>
        <v>2</v>
      </c>
      <c r="AO10" s="612">
        <f t="shared" si="8"/>
        <v>3.3528918692372173E-4</v>
      </c>
    </row>
    <row r="11" spans="1:41" x14ac:dyDescent="0.2">
      <c r="A11" s="502">
        <v>307</v>
      </c>
      <c r="B11" s="503">
        <v>0.375</v>
      </c>
      <c r="C11" s="504">
        <v>2013</v>
      </c>
      <c r="D11" s="504">
        <v>3</v>
      </c>
      <c r="E11" s="504">
        <v>9</v>
      </c>
      <c r="F11" s="505">
        <v>765413</v>
      </c>
      <c r="G11" s="504">
        <v>0</v>
      </c>
      <c r="H11" s="505">
        <v>78804</v>
      </c>
      <c r="I11" s="504">
        <v>0</v>
      </c>
      <c r="J11" s="504">
        <v>0</v>
      </c>
      <c r="K11" s="504">
        <v>0</v>
      </c>
      <c r="L11" s="506">
        <v>319.71730000000002</v>
      </c>
      <c r="M11" s="505">
        <v>17.8</v>
      </c>
      <c r="N11" s="507">
        <v>0</v>
      </c>
      <c r="O11" s="508">
        <v>5580</v>
      </c>
      <c r="P11" s="493">
        <f t="shared" si="0"/>
        <v>5580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5580</v>
      </c>
      <c r="W11" s="515">
        <f t="shared" si="10"/>
        <v>197055.85860000001</v>
      </c>
      <c r="Y11" s="513">
        <f t="shared" si="11"/>
        <v>48.471215657372127</v>
      </c>
      <c r="Z11" s="510">
        <f t="shared" si="12"/>
        <v>202.93928571428557</v>
      </c>
      <c r="AA11" s="511">
        <f t="shared" si="13"/>
        <v>192.34878401377253</v>
      </c>
      <c r="AE11" s="598" t="str">
        <f t="shared" si="3"/>
        <v>765413</v>
      </c>
      <c r="AF11" s="502">
        <v>307</v>
      </c>
      <c r="AG11" s="606">
        <v>9</v>
      </c>
      <c r="AH11" s="607">
        <v>765431</v>
      </c>
      <c r="AI11" s="608">
        <f t="shared" si="4"/>
        <v>765413</v>
      </c>
      <c r="AJ11" s="609">
        <f t="shared" si="5"/>
        <v>-18</v>
      </c>
      <c r="AL11" s="602">
        <f t="shared" si="6"/>
        <v>5578</v>
      </c>
      <c r="AM11" s="610">
        <f t="shared" si="6"/>
        <v>5580</v>
      </c>
      <c r="AN11" s="611">
        <f t="shared" si="7"/>
        <v>2</v>
      </c>
      <c r="AO11" s="612">
        <f t="shared" si="8"/>
        <v>3.5842293906810036E-4</v>
      </c>
    </row>
    <row r="12" spans="1:41" x14ac:dyDescent="0.2">
      <c r="A12" s="502">
        <v>307</v>
      </c>
      <c r="B12" s="503">
        <v>0.375</v>
      </c>
      <c r="C12" s="504">
        <v>2013</v>
      </c>
      <c r="D12" s="504">
        <v>3</v>
      </c>
      <c r="E12" s="504">
        <v>10</v>
      </c>
      <c r="F12" s="505">
        <v>770993</v>
      </c>
      <c r="G12" s="504">
        <v>0</v>
      </c>
      <c r="H12" s="505">
        <v>79035</v>
      </c>
      <c r="I12" s="504">
        <v>0</v>
      </c>
      <c r="J12" s="504">
        <v>0</v>
      </c>
      <c r="K12" s="504">
        <v>0</v>
      </c>
      <c r="L12" s="506">
        <v>326.26830000000001</v>
      </c>
      <c r="M12" s="505">
        <v>18.3</v>
      </c>
      <c r="N12" s="507">
        <v>0</v>
      </c>
      <c r="O12" s="508">
        <v>5718</v>
      </c>
      <c r="P12" s="493">
        <f t="shared" si="0"/>
        <v>5718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5718</v>
      </c>
      <c r="W12" s="515">
        <f t="shared" si="10"/>
        <v>201929.28305999999</v>
      </c>
      <c r="Y12" s="513">
        <f t="shared" si="11"/>
        <v>49.740279541151992</v>
      </c>
      <c r="Z12" s="510">
        <f t="shared" si="12"/>
        <v>208.25260238289516</v>
      </c>
      <c r="AA12" s="511">
        <f t="shared" si="13"/>
        <v>197.3848222391461</v>
      </c>
      <c r="AE12" s="598" t="str">
        <f t="shared" si="3"/>
        <v>770993</v>
      </c>
      <c r="AF12" s="502">
        <v>307</v>
      </c>
      <c r="AG12" s="606">
        <v>10</v>
      </c>
      <c r="AH12" s="607">
        <v>771009</v>
      </c>
      <c r="AI12" s="608">
        <f t="shared" si="4"/>
        <v>770993</v>
      </c>
      <c r="AJ12" s="609">
        <f t="shared" si="5"/>
        <v>-16</v>
      </c>
      <c r="AL12" s="602">
        <f t="shared" si="6"/>
        <v>5718</v>
      </c>
      <c r="AM12" s="610">
        <f t="shared" si="6"/>
        <v>5718</v>
      </c>
      <c r="AN12" s="611">
        <f t="shared" si="7"/>
        <v>0</v>
      </c>
      <c r="AO12" s="612">
        <f t="shared" si="8"/>
        <v>0</v>
      </c>
    </row>
    <row r="13" spans="1:41" x14ac:dyDescent="0.2">
      <c r="A13" s="502">
        <v>307</v>
      </c>
      <c r="B13" s="503">
        <v>0.375</v>
      </c>
      <c r="C13" s="504">
        <v>2013</v>
      </c>
      <c r="D13" s="504">
        <v>3</v>
      </c>
      <c r="E13" s="504">
        <v>11</v>
      </c>
      <c r="F13" s="505">
        <v>776711</v>
      </c>
      <c r="G13" s="504">
        <v>0</v>
      </c>
      <c r="H13" s="505">
        <v>79272</v>
      </c>
      <c r="I13" s="504">
        <v>0</v>
      </c>
      <c r="J13" s="504">
        <v>0</v>
      </c>
      <c r="K13" s="504">
        <v>0</v>
      </c>
      <c r="L13" s="506">
        <v>325.59719999999999</v>
      </c>
      <c r="M13" s="505">
        <v>18.100000000000001</v>
      </c>
      <c r="N13" s="507">
        <v>0</v>
      </c>
      <c r="O13" s="508">
        <v>5336</v>
      </c>
      <c r="P13" s="493">
        <f t="shared" si="0"/>
        <v>5336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5336</v>
      </c>
      <c r="W13" s="515">
        <f t="shared" si="10"/>
        <v>188439.07912000001</v>
      </c>
      <c r="Y13" s="513">
        <f t="shared" si="11"/>
        <v>46.336913698771703</v>
      </c>
      <c r="Z13" s="510">
        <f t="shared" si="12"/>
        <v>194.00339027401733</v>
      </c>
      <c r="AA13" s="511">
        <f t="shared" si="13"/>
        <v>183.87921334410095</v>
      </c>
      <c r="AE13" s="598" t="str">
        <f t="shared" si="3"/>
        <v>776711</v>
      </c>
      <c r="AF13" s="502">
        <v>307</v>
      </c>
      <c r="AG13" s="606">
        <v>11</v>
      </c>
      <c r="AH13" s="607">
        <v>776727</v>
      </c>
      <c r="AI13" s="608">
        <f t="shared" si="4"/>
        <v>776711</v>
      </c>
      <c r="AJ13" s="609">
        <f t="shared" si="5"/>
        <v>-16</v>
      </c>
      <c r="AL13" s="602">
        <f t="shared" si="6"/>
        <v>5341</v>
      </c>
      <c r="AM13" s="610">
        <f t="shared" si="6"/>
        <v>5336</v>
      </c>
      <c r="AN13" s="611">
        <f t="shared" si="7"/>
        <v>-5</v>
      </c>
      <c r="AO13" s="612">
        <f t="shared" si="8"/>
        <v>-9.3703148425787106E-4</v>
      </c>
    </row>
    <row r="14" spans="1:41" x14ac:dyDescent="0.2">
      <c r="A14" s="502">
        <v>307</v>
      </c>
      <c r="B14" s="503">
        <v>0.375</v>
      </c>
      <c r="C14" s="504">
        <v>2013</v>
      </c>
      <c r="D14" s="504">
        <v>3</v>
      </c>
      <c r="E14" s="504">
        <v>12</v>
      </c>
      <c r="F14" s="505">
        <v>782047</v>
      </c>
      <c r="G14" s="504">
        <v>0</v>
      </c>
      <c r="H14" s="505">
        <v>79497</v>
      </c>
      <c r="I14" s="504">
        <v>0</v>
      </c>
      <c r="J14" s="504">
        <v>0</v>
      </c>
      <c r="K14" s="504">
        <v>0</v>
      </c>
      <c r="L14" s="506">
        <v>319.63639999999998</v>
      </c>
      <c r="M14" s="505">
        <v>17.7</v>
      </c>
      <c r="N14" s="507">
        <v>0</v>
      </c>
      <c r="O14" s="508">
        <v>5353</v>
      </c>
      <c r="P14" s="493">
        <f t="shared" si="0"/>
        <v>5353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5353</v>
      </c>
      <c r="W14" s="515">
        <f t="shared" si="10"/>
        <v>189039.42851</v>
      </c>
      <c r="Y14" s="513">
        <f t="shared" si="11"/>
        <v>46.504518620430865</v>
      </c>
      <c r="Z14" s="510">
        <f t="shared" si="12"/>
        <v>194.70511856001994</v>
      </c>
      <c r="AA14" s="511">
        <f t="shared" si="13"/>
        <v>184.54432154158766</v>
      </c>
      <c r="AE14" s="598" t="str">
        <f t="shared" si="3"/>
        <v>782047</v>
      </c>
      <c r="AF14" s="502">
        <v>307</v>
      </c>
      <c r="AG14" s="606">
        <v>12</v>
      </c>
      <c r="AH14" s="607">
        <v>782068</v>
      </c>
      <c r="AI14" s="608">
        <f t="shared" si="4"/>
        <v>782047</v>
      </c>
      <c r="AJ14" s="609">
        <f t="shared" si="5"/>
        <v>-21</v>
      </c>
      <c r="AL14" s="602">
        <f t="shared" si="6"/>
        <v>5354</v>
      </c>
      <c r="AM14" s="610">
        <f t="shared" si="6"/>
        <v>5353</v>
      </c>
      <c r="AN14" s="611">
        <f t="shared" si="7"/>
        <v>-1</v>
      </c>
      <c r="AO14" s="612">
        <f t="shared" si="8"/>
        <v>-1.8681113394358303E-4</v>
      </c>
    </row>
    <row r="15" spans="1:41" x14ac:dyDescent="0.2">
      <c r="A15" s="502">
        <v>307</v>
      </c>
      <c r="B15" s="503">
        <v>0.375</v>
      </c>
      <c r="C15" s="504">
        <v>2013</v>
      </c>
      <c r="D15" s="504">
        <v>3</v>
      </c>
      <c r="E15" s="504">
        <v>13</v>
      </c>
      <c r="F15" s="505">
        <v>787400</v>
      </c>
      <c r="G15" s="504">
        <v>0</v>
      </c>
      <c r="H15" s="505">
        <v>79726</v>
      </c>
      <c r="I15" s="504">
        <v>0</v>
      </c>
      <c r="J15" s="504">
        <v>0</v>
      </c>
      <c r="K15" s="504">
        <v>0</v>
      </c>
      <c r="L15" s="506">
        <v>316.87419999999997</v>
      </c>
      <c r="M15" s="505">
        <v>17.600000000000001</v>
      </c>
      <c r="N15" s="507">
        <v>0</v>
      </c>
      <c r="O15" s="508">
        <v>6001</v>
      </c>
      <c r="P15" s="493">
        <f t="shared" si="0"/>
        <v>6001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6001</v>
      </c>
      <c r="W15" s="515">
        <f t="shared" si="10"/>
        <v>211923.33467000001</v>
      </c>
      <c r="Y15" s="513">
        <f t="shared" si="11"/>
        <v>52.010294221913483</v>
      </c>
      <c r="Z15" s="510">
        <f t="shared" si="12"/>
        <v>217.75669984830739</v>
      </c>
      <c r="AA15" s="511">
        <f t="shared" si="13"/>
        <v>206.39294298908393</v>
      </c>
      <c r="AE15" s="598" t="str">
        <f t="shared" si="3"/>
        <v>787400</v>
      </c>
      <c r="AF15" s="502">
        <v>307</v>
      </c>
      <c r="AG15" s="606">
        <v>13</v>
      </c>
      <c r="AH15" s="607">
        <v>787422</v>
      </c>
      <c r="AI15" s="608">
        <f t="shared" si="4"/>
        <v>787400</v>
      </c>
      <c r="AJ15" s="609">
        <f t="shared" si="5"/>
        <v>-22</v>
      </c>
      <c r="AL15" s="602">
        <f t="shared" si="6"/>
        <v>-787422</v>
      </c>
      <c r="AM15" s="610">
        <f t="shared" si="6"/>
        <v>6001</v>
      </c>
      <c r="AN15" s="611">
        <f t="shared" si="7"/>
        <v>793423</v>
      </c>
      <c r="AO15" s="612">
        <f t="shared" si="8"/>
        <v>132.21513081153142</v>
      </c>
    </row>
    <row r="16" spans="1:41" x14ac:dyDescent="0.2">
      <c r="A16" s="502">
        <v>307</v>
      </c>
      <c r="B16" s="503">
        <v>0.375</v>
      </c>
      <c r="C16" s="504">
        <v>2013</v>
      </c>
      <c r="D16" s="504">
        <v>3</v>
      </c>
      <c r="E16" s="504">
        <v>14</v>
      </c>
      <c r="F16" s="505">
        <v>793401</v>
      </c>
      <c r="G16" s="504">
        <v>0</v>
      </c>
      <c r="H16" s="505">
        <v>79981</v>
      </c>
      <c r="I16" s="504">
        <v>0</v>
      </c>
      <c r="J16" s="504">
        <v>0</v>
      </c>
      <c r="K16" s="504">
        <v>0</v>
      </c>
      <c r="L16" s="506">
        <v>315.54289999999997</v>
      </c>
      <c r="M16" s="505">
        <v>16.100000000000001</v>
      </c>
      <c r="N16" s="507">
        <v>0</v>
      </c>
      <c r="O16" s="508">
        <v>6039</v>
      </c>
      <c r="P16" s="493">
        <f t="shared" si="0"/>
        <v>6039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6039</v>
      </c>
      <c r="W16" s="515">
        <f t="shared" si="10"/>
        <v>213265.29212999999</v>
      </c>
      <c r="Y16" s="513">
        <f t="shared" si="11"/>
        <v>52.204103643363268</v>
      </c>
      <c r="Z16" s="510">
        <f t="shared" si="12"/>
        <v>218.56814113403331</v>
      </c>
      <c r="AA16" s="511">
        <f t="shared" si="13"/>
        <v>207.16203875119132</v>
      </c>
      <c r="AE16" s="598" t="str">
        <f t="shared" si="3"/>
        <v>793401</v>
      </c>
      <c r="AF16" s="502"/>
      <c r="AG16" s="606"/>
      <c r="AH16" s="607"/>
      <c r="AI16" s="608">
        <f t="shared" si="4"/>
        <v>793401</v>
      </c>
      <c r="AJ16" s="609">
        <f t="shared" si="5"/>
        <v>793401</v>
      </c>
      <c r="AL16" s="602">
        <f t="shared" si="6"/>
        <v>799463</v>
      </c>
      <c r="AM16" s="610">
        <f t="shared" si="6"/>
        <v>6039</v>
      </c>
      <c r="AN16" s="611">
        <f t="shared" si="7"/>
        <v>-793424</v>
      </c>
      <c r="AO16" s="612">
        <f t="shared" si="8"/>
        <v>-131.38334161284982</v>
      </c>
    </row>
    <row r="17" spans="1:41" x14ac:dyDescent="0.2">
      <c r="A17" s="502">
        <v>307</v>
      </c>
      <c r="B17" s="503">
        <v>0.375</v>
      </c>
      <c r="C17" s="504">
        <v>2013</v>
      </c>
      <c r="D17" s="504">
        <v>3</v>
      </c>
      <c r="E17" s="504">
        <v>15</v>
      </c>
      <c r="F17" s="505">
        <v>799440</v>
      </c>
      <c r="G17" s="504">
        <v>0</v>
      </c>
      <c r="H17" s="505">
        <v>80236</v>
      </c>
      <c r="I17" s="504">
        <v>0</v>
      </c>
      <c r="J17" s="504">
        <v>0</v>
      </c>
      <c r="K17" s="504">
        <v>0</v>
      </c>
      <c r="L17" s="506">
        <v>316.73360000000002</v>
      </c>
      <c r="M17" s="505">
        <v>15.7</v>
      </c>
      <c r="N17" s="507">
        <v>0</v>
      </c>
      <c r="O17" s="508">
        <v>5958</v>
      </c>
      <c r="P17" s="493">
        <f t="shared" si="0"/>
        <v>5958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5958</v>
      </c>
      <c r="W17" s="515">
        <f t="shared" si="10"/>
        <v>210404.80385999999</v>
      </c>
      <c r="Y17" s="513">
        <f t="shared" si="11"/>
        <v>52.149679344622506</v>
      </c>
      <c r="Z17" s="510">
        <f t="shared" si="12"/>
        <v>218.34027748006548</v>
      </c>
      <c r="AA17" s="511">
        <f t="shared" si="13"/>
        <v>206.94606629121452</v>
      </c>
      <c r="AE17" s="598" t="str">
        <f t="shared" si="3"/>
        <v>799440</v>
      </c>
      <c r="AF17" s="502">
        <v>307</v>
      </c>
      <c r="AG17" s="606">
        <v>15</v>
      </c>
      <c r="AH17" s="607">
        <v>799463</v>
      </c>
      <c r="AI17" s="608">
        <f t="shared" si="4"/>
        <v>799440</v>
      </c>
      <c r="AJ17" s="609">
        <f t="shared" si="5"/>
        <v>-23</v>
      </c>
      <c r="AL17" s="602">
        <f t="shared" si="6"/>
        <v>5958</v>
      </c>
      <c r="AM17" s="610">
        <f t="shared" si="6"/>
        <v>5958</v>
      </c>
      <c r="AN17" s="611">
        <f t="shared" si="7"/>
        <v>0</v>
      </c>
      <c r="AO17" s="612">
        <f t="shared" si="8"/>
        <v>0</v>
      </c>
    </row>
    <row r="18" spans="1:41" x14ac:dyDescent="0.2">
      <c r="A18" s="502">
        <v>307</v>
      </c>
      <c r="B18" s="503">
        <v>0.375</v>
      </c>
      <c r="C18" s="504">
        <v>2013</v>
      </c>
      <c r="D18" s="504">
        <v>3</v>
      </c>
      <c r="E18" s="504">
        <v>16</v>
      </c>
      <c r="F18" s="505">
        <v>805398</v>
      </c>
      <c r="G18" s="504">
        <v>0</v>
      </c>
      <c r="H18" s="505">
        <v>80488</v>
      </c>
      <c r="I18" s="504">
        <v>0</v>
      </c>
      <c r="J18" s="504">
        <v>0</v>
      </c>
      <c r="K18" s="504">
        <v>0</v>
      </c>
      <c r="L18" s="506">
        <v>316.01740000000001</v>
      </c>
      <c r="M18" s="505">
        <v>14.8</v>
      </c>
      <c r="N18" s="507">
        <v>0</v>
      </c>
      <c r="O18" s="508">
        <v>5638</v>
      </c>
      <c r="P18" s="493">
        <f t="shared" si="0"/>
        <v>5638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5638</v>
      </c>
      <c r="W18" s="515">
        <f t="shared" si="10"/>
        <v>199104.10946000001</v>
      </c>
      <c r="Y18" s="513">
        <f t="shared" si="11"/>
        <v>49.348756654075473</v>
      </c>
      <c r="Z18" s="510">
        <f t="shared" si="12"/>
        <v>206.6133743592832</v>
      </c>
      <c r="AA18" s="511">
        <f t="shared" si="13"/>
        <v>195.83113825946083</v>
      </c>
      <c r="AE18" s="598" t="str">
        <f t="shared" si="3"/>
        <v>805398</v>
      </c>
      <c r="AF18" s="502">
        <v>307</v>
      </c>
      <c r="AG18" s="606">
        <v>16</v>
      </c>
      <c r="AH18" s="607">
        <v>805421</v>
      </c>
      <c r="AI18" s="608">
        <f t="shared" si="4"/>
        <v>805398</v>
      </c>
      <c r="AJ18" s="609">
        <f t="shared" si="5"/>
        <v>-23</v>
      </c>
      <c r="AL18" s="602">
        <f t="shared" si="6"/>
        <v>-805421</v>
      </c>
      <c r="AM18" s="610">
        <f t="shared" si="6"/>
        <v>5638</v>
      </c>
      <c r="AN18" s="611">
        <f t="shared" si="7"/>
        <v>811059</v>
      </c>
      <c r="AO18" s="612">
        <f t="shared" si="8"/>
        <v>143.85579992905286</v>
      </c>
    </row>
    <row r="19" spans="1:41" x14ac:dyDescent="0.2">
      <c r="A19" s="502">
        <v>307</v>
      </c>
      <c r="B19" s="503">
        <v>0.375</v>
      </c>
      <c r="C19" s="504">
        <v>2013</v>
      </c>
      <c r="D19" s="504">
        <v>3</v>
      </c>
      <c r="E19" s="504">
        <v>17</v>
      </c>
      <c r="F19" s="505">
        <v>811036</v>
      </c>
      <c r="G19" s="504">
        <v>0</v>
      </c>
      <c r="H19" s="505">
        <v>80718</v>
      </c>
      <c r="I19" s="504">
        <v>0</v>
      </c>
      <c r="J19" s="504">
        <v>0</v>
      </c>
      <c r="K19" s="504">
        <v>0</v>
      </c>
      <c r="L19" s="506">
        <v>325.85559999999998</v>
      </c>
      <c r="M19" s="505">
        <v>14.5</v>
      </c>
      <c r="N19" s="507">
        <v>0</v>
      </c>
      <c r="O19" s="508">
        <v>5728</v>
      </c>
      <c r="P19" s="493">
        <f t="shared" si="0"/>
        <v>5728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5728</v>
      </c>
      <c r="W19" s="515">
        <f t="shared" si="10"/>
        <v>202282.42976</v>
      </c>
      <c r="Y19" s="513">
        <f t="shared" si="11"/>
        <v>50.136516160791828</v>
      </c>
      <c r="Z19" s="510">
        <f t="shared" si="12"/>
        <v>209.91156586200324</v>
      </c>
      <c r="AA19" s="511">
        <f t="shared" si="13"/>
        <v>198.95721176839155</v>
      </c>
      <c r="AE19" s="598" t="str">
        <f t="shared" si="3"/>
        <v>811036</v>
      </c>
      <c r="AF19" s="502"/>
      <c r="AG19" s="606"/>
      <c r="AH19" s="607"/>
      <c r="AI19" s="608">
        <f t="shared" si="4"/>
        <v>811036</v>
      </c>
      <c r="AJ19" s="609">
        <f t="shared" si="5"/>
        <v>811036</v>
      </c>
      <c r="AL19" s="602">
        <f t="shared" si="6"/>
        <v>816786</v>
      </c>
      <c r="AM19" s="610">
        <f t="shared" si="6"/>
        <v>5728</v>
      </c>
      <c r="AN19" s="611">
        <f t="shared" si="7"/>
        <v>-811058</v>
      </c>
      <c r="AO19" s="612">
        <f t="shared" si="8"/>
        <v>-141.59532122905028</v>
      </c>
    </row>
    <row r="20" spans="1:41" x14ac:dyDescent="0.2">
      <c r="A20" s="502">
        <v>307</v>
      </c>
      <c r="B20" s="503">
        <v>0.375</v>
      </c>
      <c r="C20" s="504">
        <v>2013</v>
      </c>
      <c r="D20" s="504">
        <v>3</v>
      </c>
      <c r="E20" s="504">
        <v>18</v>
      </c>
      <c r="F20" s="505">
        <v>816764</v>
      </c>
      <c r="G20" s="504">
        <v>0</v>
      </c>
      <c r="H20" s="505">
        <v>80954</v>
      </c>
      <c r="I20" s="504">
        <v>0</v>
      </c>
      <c r="J20" s="504">
        <v>0</v>
      </c>
      <c r="K20" s="504">
        <v>0</v>
      </c>
      <c r="L20" s="506">
        <v>327.11709999999999</v>
      </c>
      <c r="M20" s="505">
        <v>17.3</v>
      </c>
      <c r="N20" s="507">
        <v>0</v>
      </c>
      <c r="O20" s="508">
        <v>5646</v>
      </c>
      <c r="P20" s="493">
        <f t="shared" si="0"/>
        <v>5646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5646</v>
      </c>
      <c r="W20" s="515">
        <f t="shared" si="10"/>
        <v>199386.62682</v>
      </c>
      <c r="Y20" s="513">
        <f t="shared" si="11"/>
        <v>49.418779721339149</v>
      </c>
      <c r="Z20" s="510">
        <f t="shared" si="12"/>
        <v>206.90654693730278</v>
      </c>
      <c r="AA20" s="511">
        <f t="shared" si="13"/>
        <v>196.10901146025466</v>
      </c>
      <c r="AE20" s="598" t="str">
        <f t="shared" si="3"/>
        <v>816764</v>
      </c>
      <c r="AF20" s="502">
        <v>307</v>
      </c>
      <c r="AG20" s="606">
        <v>18</v>
      </c>
      <c r="AH20" s="607">
        <v>816786</v>
      </c>
      <c r="AI20" s="608">
        <f t="shared" si="4"/>
        <v>816764</v>
      </c>
      <c r="AJ20" s="609">
        <f t="shared" si="5"/>
        <v>-22</v>
      </c>
      <c r="AL20" s="602">
        <f t="shared" si="6"/>
        <v>5645</v>
      </c>
      <c r="AM20" s="610">
        <f t="shared" si="6"/>
        <v>5646</v>
      </c>
      <c r="AN20" s="611">
        <f t="shared" si="7"/>
        <v>1</v>
      </c>
      <c r="AO20" s="612">
        <f t="shared" si="8"/>
        <v>1.7711654268508679E-4</v>
      </c>
    </row>
    <row r="21" spans="1:41" x14ac:dyDescent="0.2">
      <c r="A21" s="502">
        <v>307</v>
      </c>
      <c r="B21" s="503">
        <v>0.375</v>
      </c>
      <c r="C21" s="504">
        <v>2013</v>
      </c>
      <c r="D21" s="504">
        <v>3</v>
      </c>
      <c r="E21" s="504">
        <v>19</v>
      </c>
      <c r="F21" s="505">
        <v>822410</v>
      </c>
      <c r="G21" s="504">
        <v>0</v>
      </c>
      <c r="H21" s="505">
        <v>81188</v>
      </c>
      <c r="I21" s="504">
        <v>0</v>
      </c>
      <c r="J21" s="504">
        <v>0</v>
      </c>
      <c r="K21" s="504">
        <v>0</v>
      </c>
      <c r="L21" s="506">
        <v>326.0421</v>
      </c>
      <c r="M21" s="505">
        <v>17.8</v>
      </c>
      <c r="N21" s="507">
        <v>0</v>
      </c>
      <c r="O21" s="508">
        <v>5193</v>
      </c>
      <c r="P21" s="493">
        <f t="shared" si="0"/>
        <v>5193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5193</v>
      </c>
      <c r="W21" s="515">
        <f t="shared" si="10"/>
        <v>183389.08131000001</v>
      </c>
      <c r="Y21" s="513">
        <f t="shared" si="11"/>
        <v>45.453723537533513</v>
      </c>
      <c r="Z21" s="510">
        <f t="shared" si="12"/>
        <v>190.3056497069453</v>
      </c>
      <c r="AA21" s="511">
        <f t="shared" si="13"/>
        <v>180.37444146530331</v>
      </c>
      <c r="AE21" s="598" t="str">
        <f t="shared" si="3"/>
        <v>822410</v>
      </c>
      <c r="AF21" s="502">
        <v>307</v>
      </c>
      <c r="AG21" s="606">
        <v>19</v>
      </c>
      <c r="AH21" s="607">
        <v>822431</v>
      </c>
      <c r="AI21" s="608">
        <f t="shared" si="4"/>
        <v>822410</v>
      </c>
      <c r="AJ21" s="609">
        <f t="shared" si="5"/>
        <v>-21</v>
      </c>
      <c r="AL21" s="602">
        <f t="shared" si="6"/>
        <v>5194</v>
      </c>
      <c r="AM21" s="610">
        <f t="shared" si="6"/>
        <v>5193</v>
      </c>
      <c r="AN21" s="611">
        <f t="shared" si="7"/>
        <v>-1</v>
      </c>
      <c r="AO21" s="612">
        <f t="shared" si="8"/>
        <v>-1.9256691700365877E-4</v>
      </c>
    </row>
    <row r="22" spans="1:41" x14ac:dyDescent="0.2">
      <c r="A22" s="502">
        <v>307</v>
      </c>
      <c r="B22" s="503">
        <v>0.375</v>
      </c>
      <c r="C22" s="504">
        <v>2013</v>
      </c>
      <c r="D22" s="504">
        <v>3</v>
      </c>
      <c r="E22" s="504">
        <v>20</v>
      </c>
      <c r="F22" s="505">
        <v>827603</v>
      </c>
      <c r="G22" s="504">
        <v>0</v>
      </c>
      <c r="H22" s="505">
        <v>81408</v>
      </c>
      <c r="I22" s="504">
        <v>0</v>
      </c>
      <c r="J22" s="504">
        <v>0</v>
      </c>
      <c r="K22" s="504">
        <v>0</v>
      </c>
      <c r="L22" s="506">
        <v>318.3116</v>
      </c>
      <c r="M22" s="505">
        <v>18.399999999999999</v>
      </c>
      <c r="N22" s="507">
        <v>0</v>
      </c>
      <c r="O22" s="508">
        <v>5225</v>
      </c>
      <c r="P22" s="493">
        <f t="shared" si="0"/>
        <v>5225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5225</v>
      </c>
      <c r="W22" s="515">
        <f t="shared" si="10"/>
        <v>184519.15075</v>
      </c>
      <c r="Y22" s="513">
        <f t="shared" si="11"/>
        <v>45.733815806588218</v>
      </c>
      <c r="Z22" s="510">
        <f t="shared" si="12"/>
        <v>191.47834001902353</v>
      </c>
      <c r="AA22" s="511">
        <f t="shared" si="13"/>
        <v>181.4859342684787</v>
      </c>
      <c r="AE22" s="598" t="str">
        <f t="shared" si="3"/>
        <v>827603</v>
      </c>
      <c r="AF22" s="502">
        <v>307</v>
      </c>
      <c r="AG22" s="606">
        <v>20</v>
      </c>
      <c r="AH22" s="607">
        <v>827625</v>
      </c>
      <c r="AI22" s="608">
        <f t="shared" si="4"/>
        <v>827603</v>
      </c>
      <c r="AJ22" s="609">
        <f t="shared" si="5"/>
        <v>-22</v>
      </c>
      <c r="AL22" s="602">
        <f t="shared" si="6"/>
        <v>5223</v>
      </c>
      <c r="AM22" s="610">
        <f t="shared" si="6"/>
        <v>5225</v>
      </c>
      <c r="AN22" s="611">
        <f t="shared" si="7"/>
        <v>2</v>
      </c>
      <c r="AO22" s="612">
        <f t="shared" si="8"/>
        <v>3.8277511961722489E-4</v>
      </c>
    </row>
    <row r="23" spans="1:41" x14ac:dyDescent="0.2">
      <c r="A23" s="502">
        <v>307</v>
      </c>
      <c r="B23" s="503">
        <v>0.375</v>
      </c>
      <c r="C23" s="504">
        <v>2013</v>
      </c>
      <c r="D23" s="504">
        <v>3</v>
      </c>
      <c r="E23" s="504">
        <v>21</v>
      </c>
      <c r="F23" s="505">
        <v>832828</v>
      </c>
      <c r="G23" s="504">
        <v>0</v>
      </c>
      <c r="H23" s="505">
        <v>81631</v>
      </c>
      <c r="I23" s="504">
        <v>0</v>
      </c>
      <c r="J23" s="504">
        <v>0</v>
      </c>
      <c r="K23" s="504">
        <v>0</v>
      </c>
      <c r="L23" s="506">
        <v>317.50650000000002</v>
      </c>
      <c r="M23" s="505">
        <v>18.2</v>
      </c>
      <c r="N23" s="507">
        <v>0</v>
      </c>
      <c r="O23" s="508">
        <v>5433</v>
      </c>
      <c r="P23" s="493">
        <f t="shared" si="0"/>
        <v>5433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5433</v>
      </c>
      <c r="W23" s="515">
        <f t="shared" si="10"/>
        <v>191864.60211000001</v>
      </c>
      <c r="Y23" s="513">
        <f t="shared" si="11"/>
        <v>47.554415555443789</v>
      </c>
      <c r="Z23" s="510">
        <f t="shared" si="12"/>
        <v>199.10082704753205</v>
      </c>
      <c r="AA23" s="511">
        <f t="shared" si="13"/>
        <v>188.7106374891186</v>
      </c>
      <c r="AE23" s="598" t="str">
        <f t="shared" si="3"/>
        <v>832828</v>
      </c>
      <c r="AF23" s="502">
        <v>307</v>
      </c>
      <c r="AG23" s="606">
        <v>21</v>
      </c>
      <c r="AH23" s="607">
        <v>832848</v>
      </c>
      <c r="AI23" s="608">
        <f t="shared" si="4"/>
        <v>832828</v>
      </c>
      <c r="AJ23" s="609">
        <f t="shared" si="5"/>
        <v>-20</v>
      </c>
      <c r="AL23" s="602">
        <f t="shared" si="6"/>
        <v>5433</v>
      </c>
      <c r="AM23" s="610">
        <f t="shared" si="6"/>
        <v>5433</v>
      </c>
      <c r="AN23" s="611">
        <f t="shared" si="7"/>
        <v>0</v>
      </c>
      <c r="AO23" s="612">
        <f t="shared" si="8"/>
        <v>0</v>
      </c>
    </row>
    <row r="24" spans="1:41" x14ac:dyDescent="0.2">
      <c r="A24" s="502">
        <v>307</v>
      </c>
      <c r="B24" s="503">
        <v>0.375</v>
      </c>
      <c r="C24" s="504">
        <v>2013</v>
      </c>
      <c r="D24" s="504">
        <v>3</v>
      </c>
      <c r="E24" s="504">
        <v>22</v>
      </c>
      <c r="F24" s="505">
        <v>838261</v>
      </c>
      <c r="G24" s="504">
        <v>0</v>
      </c>
      <c r="H24" s="505">
        <v>81863</v>
      </c>
      <c r="I24" s="504">
        <v>0</v>
      </c>
      <c r="J24" s="504">
        <v>0</v>
      </c>
      <c r="K24" s="504">
        <v>0</v>
      </c>
      <c r="L24" s="506">
        <v>316.4511</v>
      </c>
      <c r="M24" s="505">
        <v>18.399999999999999</v>
      </c>
      <c r="N24" s="507">
        <v>0</v>
      </c>
      <c r="O24" s="508">
        <v>5625</v>
      </c>
      <c r="P24" s="493">
        <f t="shared" si="0"/>
        <v>5625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5625</v>
      </c>
      <c r="W24" s="515">
        <f t="shared" si="10"/>
        <v>198645.01874999999</v>
      </c>
      <c r="Y24" s="513">
        <f t="shared" si="11"/>
        <v>49.234969169772</v>
      </c>
      <c r="Z24" s="510">
        <f t="shared" si="12"/>
        <v>206.13696892000141</v>
      </c>
      <c r="AA24" s="511">
        <f t="shared" si="13"/>
        <v>195.37959430817082</v>
      </c>
      <c r="AE24" s="598" t="str">
        <f t="shared" si="3"/>
        <v>838261</v>
      </c>
      <c r="AF24" s="502">
        <v>307</v>
      </c>
      <c r="AG24" s="606">
        <v>22</v>
      </c>
      <c r="AH24" s="607">
        <v>838281</v>
      </c>
      <c r="AI24" s="608">
        <f t="shared" si="4"/>
        <v>838261</v>
      </c>
      <c r="AJ24" s="609">
        <f t="shared" si="5"/>
        <v>-20</v>
      </c>
      <c r="AL24" s="602">
        <f t="shared" si="6"/>
        <v>5628</v>
      </c>
      <c r="AM24" s="610">
        <f t="shared" si="6"/>
        <v>5625</v>
      </c>
      <c r="AN24" s="611">
        <f t="shared" si="7"/>
        <v>-3</v>
      </c>
      <c r="AO24" s="612">
        <f t="shared" si="8"/>
        <v>-5.3333333333333336E-4</v>
      </c>
    </row>
    <row r="25" spans="1:41" x14ac:dyDescent="0.2">
      <c r="A25" s="502">
        <v>307</v>
      </c>
      <c r="B25" s="503">
        <v>0.375</v>
      </c>
      <c r="C25" s="504">
        <v>2013</v>
      </c>
      <c r="D25" s="504">
        <v>3</v>
      </c>
      <c r="E25" s="504">
        <v>23</v>
      </c>
      <c r="F25" s="505">
        <v>843886</v>
      </c>
      <c r="G25" s="504">
        <v>0</v>
      </c>
      <c r="H25" s="505">
        <v>82103</v>
      </c>
      <c r="I25" s="504">
        <v>0</v>
      </c>
      <c r="J25" s="504">
        <v>0</v>
      </c>
      <c r="K25" s="504">
        <v>0</v>
      </c>
      <c r="L25" s="506">
        <v>317.43090000000001</v>
      </c>
      <c r="M25" s="505">
        <v>18.399999999999999</v>
      </c>
      <c r="N25" s="507">
        <v>0</v>
      </c>
      <c r="O25" s="508">
        <v>4681</v>
      </c>
      <c r="P25" s="493">
        <f t="shared" si="0"/>
        <v>4681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4681</v>
      </c>
      <c r="W25" s="515">
        <f t="shared" si="10"/>
        <v>165307.97026999999</v>
      </c>
      <c r="Y25" s="513">
        <f t="shared" si="11"/>
        <v>40.972247232658269</v>
      </c>
      <c r="Z25" s="510">
        <f t="shared" si="12"/>
        <v>171.54260471369361</v>
      </c>
      <c r="AA25" s="511">
        <f t="shared" si="13"/>
        <v>162.59055661449736</v>
      </c>
      <c r="AE25" s="598" t="str">
        <f t="shared" si="3"/>
        <v>843886</v>
      </c>
      <c r="AF25" s="502">
        <v>307</v>
      </c>
      <c r="AG25" s="606">
        <v>23</v>
      </c>
      <c r="AH25" s="607">
        <v>843909</v>
      </c>
      <c r="AI25" s="608">
        <f t="shared" si="4"/>
        <v>843886</v>
      </c>
      <c r="AJ25" s="609">
        <f t="shared" si="5"/>
        <v>-23</v>
      </c>
      <c r="AL25" s="602">
        <f t="shared" si="6"/>
        <v>4676</v>
      </c>
      <c r="AM25" s="610">
        <f t="shared" si="6"/>
        <v>4681</v>
      </c>
      <c r="AN25" s="611">
        <f t="shared" si="7"/>
        <v>5</v>
      </c>
      <c r="AO25" s="612">
        <f t="shared" si="8"/>
        <v>1.0681478316599017E-3</v>
      </c>
    </row>
    <row r="26" spans="1:41" x14ac:dyDescent="0.2">
      <c r="A26" s="502">
        <v>307</v>
      </c>
      <c r="B26" s="503">
        <v>0.375</v>
      </c>
      <c r="C26" s="504">
        <v>2013</v>
      </c>
      <c r="D26" s="504">
        <v>3</v>
      </c>
      <c r="E26" s="504">
        <v>24</v>
      </c>
      <c r="F26" s="505">
        <v>848567</v>
      </c>
      <c r="G26" s="504">
        <v>0</v>
      </c>
      <c r="H26" s="505">
        <v>82299</v>
      </c>
      <c r="I26" s="504">
        <v>0</v>
      </c>
      <c r="J26" s="504">
        <v>0</v>
      </c>
      <c r="K26" s="504">
        <v>0</v>
      </c>
      <c r="L26" s="506">
        <v>322.7287</v>
      </c>
      <c r="M26" s="505">
        <v>18.5</v>
      </c>
      <c r="N26" s="507">
        <v>0</v>
      </c>
      <c r="O26" s="508">
        <v>5612</v>
      </c>
      <c r="P26" s="493">
        <f t="shared" si="0"/>
        <v>5612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5612</v>
      </c>
      <c r="W26" s="515">
        <f t="shared" si="10"/>
        <v>198185.92804</v>
      </c>
      <c r="Y26" s="513">
        <f t="shared" si="11"/>
        <v>49.121181685468535</v>
      </c>
      <c r="Z26" s="510">
        <f t="shared" si="12"/>
        <v>205.66056348071965</v>
      </c>
      <c r="AA26" s="511">
        <f t="shared" si="13"/>
        <v>194.92805035688085</v>
      </c>
      <c r="AE26" s="598" t="str">
        <f t="shared" si="3"/>
        <v>848567</v>
      </c>
      <c r="AF26" s="502">
        <v>307</v>
      </c>
      <c r="AG26" s="606">
        <v>24</v>
      </c>
      <c r="AH26" s="607">
        <v>848585</v>
      </c>
      <c r="AI26" s="608">
        <f t="shared" si="4"/>
        <v>848567</v>
      </c>
      <c r="AJ26" s="609">
        <f t="shared" si="5"/>
        <v>-18</v>
      </c>
      <c r="AL26" s="602">
        <f t="shared" si="6"/>
        <v>5611</v>
      </c>
      <c r="AM26" s="610">
        <f t="shared" si="6"/>
        <v>5612</v>
      </c>
      <c r="AN26" s="611">
        <f t="shared" si="7"/>
        <v>1</v>
      </c>
      <c r="AO26" s="612">
        <f t="shared" si="8"/>
        <v>1.7818959372772631E-4</v>
      </c>
    </row>
    <row r="27" spans="1:41" x14ac:dyDescent="0.2">
      <c r="A27" s="502">
        <v>307</v>
      </c>
      <c r="B27" s="503">
        <v>0.375</v>
      </c>
      <c r="C27" s="504">
        <v>2013</v>
      </c>
      <c r="D27" s="504">
        <v>3</v>
      </c>
      <c r="E27" s="504">
        <v>25</v>
      </c>
      <c r="F27" s="505">
        <v>854179</v>
      </c>
      <c r="G27" s="504">
        <v>0</v>
      </c>
      <c r="H27" s="505">
        <v>82534</v>
      </c>
      <c r="I27" s="504">
        <v>0</v>
      </c>
      <c r="J27" s="504">
        <v>0</v>
      </c>
      <c r="K27" s="504">
        <v>0</v>
      </c>
      <c r="L27" s="506">
        <v>323.50459999999998</v>
      </c>
      <c r="M27" s="505">
        <v>18.2</v>
      </c>
      <c r="N27" s="507">
        <v>0</v>
      </c>
      <c r="O27" s="508">
        <v>4608</v>
      </c>
      <c r="P27" s="493">
        <f t="shared" si="0"/>
        <v>4608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4608</v>
      </c>
      <c r="W27" s="515">
        <f t="shared" si="10"/>
        <v>162729.99935999999</v>
      </c>
      <c r="Y27" s="513">
        <f t="shared" si="11"/>
        <v>40.333286743877224</v>
      </c>
      <c r="Z27" s="510">
        <f t="shared" si="12"/>
        <v>168.86740493926516</v>
      </c>
      <c r="AA27" s="511">
        <f t="shared" si="13"/>
        <v>160.05496365725352</v>
      </c>
      <c r="AE27" s="598" t="str">
        <f t="shared" si="3"/>
        <v>854179</v>
      </c>
      <c r="AF27" s="502">
        <v>307</v>
      </c>
      <c r="AG27" s="606">
        <v>25</v>
      </c>
      <c r="AH27" s="607">
        <v>854196</v>
      </c>
      <c r="AI27" s="608">
        <f t="shared" si="4"/>
        <v>854179</v>
      </c>
      <c r="AJ27" s="609">
        <f t="shared" si="5"/>
        <v>-17</v>
      </c>
      <c r="AL27" s="602">
        <f t="shared" si="6"/>
        <v>4607</v>
      </c>
      <c r="AM27" s="610">
        <f t="shared" si="6"/>
        <v>4608</v>
      </c>
      <c r="AN27" s="611">
        <f t="shared" si="7"/>
        <v>1</v>
      </c>
      <c r="AO27" s="612">
        <f t="shared" si="8"/>
        <v>2.1701388888888888E-4</v>
      </c>
    </row>
    <row r="28" spans="1:41" x14ac:dyDescent="0.2">
      <c r="A28" s="502">
        <v>307</v>
      </c>
      <c r="B28" s="503">
        <v>0.375</v>
      </c>
      <c r="C28" s="504">
        <v>2013</v>
      </c>
      <c r="D28" s="504">
        <v>3</v>
      </c>
      <c r="E28" s="504">
        <v>26</v>
      </c>
      <c r="F28" s="505">
        <v>858787</v>
      </c>
      <c r="G28" s="504">
        <v>0</v>
      </c>
      <c r="H28" s="505">
        <v>82730</v>
      </c>
      <c r="I28" s="504">
        <v>0</v>
      </c>
      <c r="J28" s="504">
        <v>0</v>
      </c>
      <c r="K28" s="504">
        <v>0</v>
      </c>
      <c r="L28" s="506">
        <v>316.74599999999998</v>
      </c>
      <c r="M28" s="505">
        <v>18</v>
      </c>
      <c r="N28" s="507">
        <v>0</v>
      </c>
      <c r="O28" s="508">
        <v>5539</v>
      </c>
      <c r="P28" s="493">
        <f t="shared" si="0"/>
        <v>5539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5539</v>
      </c>
      <c r="W28" s="515">
        <f t="shared" si="10"/>
        <v>195607.95713</v>
      </c>
      <c r="Y28" s="513">
        <f t="shared" si="11"/>
        <v>48.48222119668749</v>
      </c>
      <c r="Z28" s="510">
        <f t="shared" si="12"/>
        <v>202.98536370629117</v>
      </c>
      <c r="AA28" s="511">
        <f t="shared" si="13"/>
        <v>192.39245739963701</v>
      </c>
      <c r="AE28" s="598" t="str">
        <f t="shared" si="3"/>
        <v>858787</v>
      </c>
      <c r="AF28" s="502">
        <v>307</v>
      </c>
      <c r="AG28" s="606">
        <v>26</v>
      </c>
      <c r="AH28" s="607">
        <v>858803</v>
      </c>
      <c r="AI28" s="608">
        <f t="shared" si="4"/>
        <v>858787</v>
      </c>
      <c r="AJ28" s="609">
        <f t="shared" si="5"/>
        <v>-16</v>
      </c>
      <c r="AL28" s="602">
        <f t="shared" si="6"/>
        <v>5548</v>
      </c>
      <c r="AM28" s="610">
        <f t="shared" si="6"/>
        <v>5539</v>
      </c>
      <c r="AN28" s="611">
        <f t="shared" si="7"/>
        <v>-9</v>
      </c>
      <c r="AO28" s="612">
        <f t="shared" si="8"/>
        <v>-1.6248420292471566E-3</v>
      </c>
    </row>
    <row r="29" spans="1:41" x14ac:dyDescent="0.2">
      <c r="A29" s="502">
        <v>307</v>
      </c>
      <c r="B29" s="503">
        <v>0.375</v>
      </c>
      <c r="C29" s="504">
        <v>2013</v>
      </c>
      <c r="D29" s="504">
        <v>3</v>
      </c>
      <c r="E29" s="504">
        <v>27</v>
      </c>
      <c r="F29" s="505">
        <v>864326</v>
      </c>
      <c r="G29" s="504">
        <v>0</v>
      </c>
      <c r="H29" s="505">
        <v>82965</v>
      </c>
      <c r="I29" s="504">
        <v>0</v>
      </c>
      <c r="J29" s="504">
        <v>0</v>
      </c>
      <c r="K29" s="504">
        <v>0</v>
      </c>
      <c r="L29" s="506">
        <v>316.73039999999997</v>
      </c>
      <c r="M29" s="505">
        <v>16.3</v>
      </c>
      <c r="N29" s="507">
        <v>0</v>
      </c>
      <c r="O29" s="508">
        <v>5828</v>
      </c>
      <c r="P29" s="493">
        <f t="shared" si="0"/>
        <v>5828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5828</v>
      </c>
      <c r="W29" s="515">
        <f t="shared" si="10"/>
        <v>205813.89676</v>
      </c>
      <c r="Y29" s="513">
        <f t="shared" si="11"/>
        <v>51.011804501587768</v>
      </c>
      <c r="Z29" s="510">
        <f t="shared" si="12"/>
        <v>213.57622308724771</v>
      </c>
      <c r="AA29" s="511">
        <f t="shared" si="13"/>
        <v>202.4306267783146</v>
      </c>
      <c r="AE29" s="598" t="str">
        <f t="shared" si="3"/>
        <v>864326</v>
      </c>
      <c r="AF29" s="502">
        <v>307</v>
      </c>
      <c r="AG29" s="606">
        <v>27</v>
      </c>
      <c r="AH29" s="607">
        <v>864351</v>
      </c>
      <c r="AI29" s="608">
        <f t="shared" si="4"/>
        <v>864326</v>
      </c>
      <c r="AJ29" s="609">
        <f t="shared" si="5"/>
        <v>-25</v>
      </c>
      <c r="AL29" s="602">
        <f t="shared" si="6"/>
        <v>5829</v>
      </c>
      <c r="AM29" s="610">
        <f t="shared" si="6"/>
        <v>5828</v>
      </c>
      <c r="AN29" s="611">
        <f t="shared" si="7"/>
        <v>-1</v>
      </c>
      <c r="AO29" s="612">
        <f t="shared" si="8"/>
        <v>-1.7158544955387783E-4</v>
      </c>
    </row>
    <row r="30" spans="1:41" x14ac:dyDescent="0.2">
      <c r="A30" s="502">
        <v>307</v>
      </c>
      <c r="B30" s="503">
        <v>0.375</v>
      </c>
      <c r="C30" s="504">
        <v>2013</v>
      </c>
      <c r="D30" s="504">
        <v>3</v>
      </c>
      <c r="E30" s="504">
        <v>28</v>
      </c>
      <c r="F30" s="505">
        <v>870154</v>
      </c>
      <c r="G30" s="504">
        <v>0</v>
      </c>
      <c r="H30" s="505">
        <v>83210</v>
      </c>
      <c r="I30" s="504">
        <v>0</v>
      </c>
      <c r="J30" s="504">
        <v>0</v>
      </c>
      <c r="K30" s="504">
        <v>0</v>
      </c>
      <c r="L30" s="506">
        <v>321.01429999999999</v>
      </c>
      <c r="M30" s="505">
        <v>18.3</v>
      </c>
      <c r="N30" s="507">
        <v>0</v>
      </c>
      <c r="O30" s="508">
        <v>5991</v>
      </c>
      <c r="P30" s="493">
        <f t="shared" si="0"/>
        <v>5991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5991</v>
      </c>
      <c r="W30" s="515">
        <f t="shared" si="10"/>
        <v>211570.18797</v>
      </c>
      <c r="Y30" s="513">
        <f t="shared" si="11"/>
        <v>52.438524497085169</v>
      </c>
      <c r="Z30" s="510">
        <f t="shared" si="12"/>
        <v>219.54961436439618</v>
      </c>
      <c r="AA30" s="511">
        <f t="shared" si="13"/>
        <v>208.09229324448913</v>
      </c>
      <c r="AE30" s="598" t="str">
        <f t="shared" si="3"/>
        <v>870154</v>
      </c>
      <c r="AF30" s="502">
        <v>307</v>
      </c>
      <c r="AG30" s="606">
        <v>28</v>
      </c>
      <c r="AH30" s="607">
        <v>870180</v>
      </c>
      <c r="AI30" s="608">
        <f t="shared" si="4"/>
        <v>870154</v>
      </c>
      <c r="AJ30" s="609">
        <f t="shared" si="5"/>
        <v>-26</v>
      </c>
      <c r="AL30" s="602">
        <f t="shared" si="6"/>
        <v>5991</v>
      </c>
      <c r="AM30" s="610">
        <f t="shared" si="6"/>
        <v>5991</v>
      </c>
      <c r="AN30" s="611">
        <f t="shared" si="7"/>
        <v>0</v>
      </c>
      <c r="AO30" s="612">
        <f t="shared" si="8"/>
        <v>0</v>
      </c>
    </row>
    <row r="31" spans="1:41" x14ac:dyDescent="0.2">
      <c r="A31" s="502">
        <v>307</v>
      </c>
      <c r="B31" s="503">
        <v>0.375</v>
      </c>
      <c r="C31" s="504">
        <v>2013</v>
      </c>
      <c r="D31" s="504">
        <v>3</v>
      </c>
      <c r="E31" s="504">
        <v>29</v>
      </c>
      <c r="F31" s="505">
        <v>876145</v>
      </c>
      <c r="G31" s="504">
        <v>0</v>
      </c>
      <c r="H31" s="505">
        <v>83458</v>
      </c>
      <c r="I31" s="504">
        <v>0</v>
      </c>
      <c r="J31" s="504">
        <v>0</v>
      </c>
      <c r="K31" s="504">
        <v>0</v>
      </c>
      <c r="L31" s="506">
        <v>325.50700000000001</v>
      </c>
      <c r="M31" s="505">
        <v>18</v>
      </c>
      <c r="N31" s="507">
        <v>0</v>
      </c>
      <c r="O31" s="508">
        <v>6085</v>
      </c>
      <c r="P31" s="493">
        <f t="shared" si="0"/>
        <v>6085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6085</v>
      </c>
      <c r="W31" s="515">
        <f t="shared" si="10"/>
        <v>214889.76694999999</v>
      </c>
      <c r="Y31" s="513">
        <f t="shared" si="11"/>
        <v>53.261295537433355</v>
      </c>
      <c r="Z31" s="510">
        <f t="shared" si="12"/>
        <v>222.994392156126</v>
      </c>
      <c r="AA31" s="511">
        <f t="shared" si="13"/>
        <v>211.35730335381677</v>
      </c>
      <c r="AE31" s="598" t="str">
        <f t="shared" si="3"/>
        <v>876145</v>
      </c>
      <c r="AF31" s="502">
        <v>307</v>
      </c>
      <c r="AG31" s="606">
        <v>29</v>
      </c>
      <c r="AH31" s="607">
        <v>876171</v>
      </c>
      <c r="AI31" s="608">
        <f t="shared" si="4"/>
        <v>876145</v>
      </c>
      <c r="AJ31" s="609">
        <f t="shared" si="5"/>
        <v>-26</v>
      </c>
      <c r="AL31" s="602">
        <f t="shared" si="6"/>
        <v>6084</v>
      </c>
      <c r="AM31" s="610">
        <f t="shared" si="6"/>
        <v>6085</v>
      </c>
      <c r="AN31" s="611">
        <f t="shared" si="7"/>
        <v>1</v>
      </c>
      <c r="AO31" s="612">
        <f t="shared" si="8"/>
        <v>1.6433853738701725E-4</v>
      </c>
    </row>
    <row r="32" spans="1:41" x14ac:dyDescent="0.2">
      <c r="A32" s="502">
        <v>307</v>
      </c>
      <c r="B32" s="503">
        <v>0.375</v>
      </c>
      <c r="C32" s="504">
        <v>2013</v>
      </c>
      <c r="D32" s="504">
        <v>3</v>
      </c>
      <c r="E32" s="504">
        <v>30</v>
      </c>
      <c r="F32" s="505">
        <v>882230</v>
      </c>
      <c r="G32" s="504">
        <v>0</v>
      </c>
      <c r="H32" s="505">
        <v>83712</v>
      </c>
      <c r="I32" s="504">
        <v>0</v>
      </c>
      <c r="J32" s="504">
        <v>0</v>
      </c>
      <c r="K32" s="504">
        <v>0</v>
      </c>
      <c r="L32" s="506">
        <v>325.36090000000002</v>
      </c>
      <c r="M32" s="505">
        <v>19.100000000000001</v>
      </c>
      <c r="N32" s="507">
        <v>0</v>
      </c>
      <c r="O32" s="508">
        <v>6165</v>
      </c>
      <c r="P32" s="493">
        <f t="shared" si="0"/>
        <v>6165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6165</v>
      </c>
      <c r="W32" s="515">
        <f t="shared" si="10"/>
        <v>217714.94055</v>
      </c>
      <c r="Y32" s="513">
        <f t="shared" si="11"/>
        <v>53.961526210070119</v>
      </c>
      <c r="Z32" s="510">
        <f t="shared" si="12"/>
        <v>225.92611793632156</v>
      </c>
      <c r="AA32" s="511">
        <f t="shared" si="13"/>
        <v>214.13603536175523</v>
      </c>
      <c r="AE32" s="598" t="str">
        <f t="shared" si="3"/>
        <v>882230</v>
      </c>
      <c r="AF32" s="502">
        <v>307</v>
      </c>
      <c r="AG32" s="606">
        <v>30</v>
      </c>
      <c r="AH32" s="607">
        <v>882255</v>
      </c>
      <c r="AI32" s="608">
        <f t="shared" si="4"/>
        <v>882230</v>
      </c>
      <c r="AJ32" s="609">
        <f t="shared" si="5"/>
        <v>-25</v>
      </c>
      <c r="AL32" s="602">
        <f t="shared" si="6"/>
        <v>6166</v>
      </c>
      <c r="AM32" s="610">
        <f t="shared" si="6"/>
        <v>6165</v>
      </c>
      <c r="AN32" s="611">
        <f t="shared" si="7"/>
        <v>-1</v>
      </c>
      <c r="AO32" s="612">
        <f t="shared" si="8"/>
        <v>-1.6220600162206002E-4</v>
      </c>
    </row>
    <row r="33" spans="1:41" ht="13.5" thickBot="1" x14ac:dyDescent="0.25">
      <c r="A33" s="502">
        <v>307</v>
      </c>
      <c r="B33" s="503">
        <v>0.375</v>
      </c>
      <c r="C33" s="504">
        <v>2013</v>
      </c>
      <c r="D33" s="504">
        <v>3</v>
      </c>
      <c r="E33" s="504">
        <v>31</v>
      </c>
      <c r="F33" s="505">
        <v>888395</v>
      </c>
      <c r="G33" s="504">
        <v>0</v>
      </c>
      <c r="H33" s="505">
        <v>83969</v>
      </c>
      <c r="I33" s="504">
        <v>0</v>
      </c>
      <c r="J33" s="504">
        <v>0</v>
      </c>
      <c r="K33" s="504">
        <v>0</v>
      </c>
      <c r="L33" s="506">
        <v>325.24979999999999</v>
      </c>
      <c r="M33" s="505">
        <v>19.399999999999999</v>
      </c>
      <c r="N33" s="507">
        <v>0</v>
      </c>
      <c r="O33" s="508">
        <v>5826</v>
      </c>
      <c r="P33" s="493">
        <f t="shared" si="0"/>
        <v>5826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5826</v>
      </c>
      <c r="W33" s="519">
        <f t="shared" si="10"/>
        <v>205743.26741999999</v>
      </c>
      <c r="Y33" s="513">
        <f t="shared" si="11"/>
        <v>50.994298734771853</v>
      </c>
      <c r="Z33" s="510">
        <f t="shared" si="12"/>
        <v>213.50292994274278</v>
      </c>
      <c r="AA33" s="511">
        <f t="shared" si="13"/>
        <v>202.36115847811612</v>
      </c>
      <c r="AE33" s="598" t="str">
        <f t="shared" si="3"/>
        <v>888395</v>
      </c>
      <c r="AF33" s="502">
        <v>307</v>
      </c>
      <c r="AG33" s="606">
        <v>31</v>
      </c>
      <c r="AH33" s="607">
        <v>888421</v>
      </c>
      <c r="AI33" s="608">
        <f t="shared" si="4"/>
        <v>888395</v>
      </c>
      <c r="AJ33" s="609">
        <f t="shared" si="5"/>
        <v>-26</v>
      </c>
      <c r="AL33" s="602">
        <f t="shared" si="6"/>
        <v>5825</v>
      </c>
      <c r="AM33" s="613">
        <f t="shared" si="6"/>
        <v>5826</v>
      </c>
      <c r="AN33" s="611">
        <f t="shared" si="7"/>
        <v>1</v>
      </c>
      <c r="AO33" s="612">
        <f t="shared" si="8"/>
        <v>1.7164435290078958E-4</v>
      </c>
    </row>
    <row r="34" spans="1:41" ht="13.5" thickBot="1" x14ac:dyDescent="0.25">
      <c r="A34" s="148">
        <v>307</v>
      </c>
      <c r="B34" s="520">
        <v>0.375</v>
      </c>
      <c r="C34" s="146">
        <v>2013</v>
      </c>
      <c r="D34" s="146">
        <v>4</v>
      </c>
      <c r="E34" s="146">
        <v>1</v>
      </c>
      <c r="F34" s="521">
        <v>894221</v>
      </c>
      <c r="G34" s="146">
        <v>0</v>
      </c>
      <c r="H34" s="521">
        <v>84213</v>
      </c>
      <c r="I34" s="146">
        <v>0</v>
      </c>
      <c r="J34" s="146">
        <v>0</v>
      </c>
      <c r="K34" s="146">
        <v>0</v>
      </c>
      <c r="L34" s="522">
        <v>323.94130000000001</v>
      </c>
      <c r="M34" s="521">
        <v>19.5</v>
      </c>
      <c r="N34" s="523">
        <v>0</v>
      </c>
      <c r="O34" s="524">
        <v>5746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894221</v>
      </c>
      <c r="AF34" s="148">
        <v>307</v>
      </c>
      <c r="AG34" s="614">
        <v>1</v>
      </c>
      <c r="AH34" s="615">
        <v>894246</v>
      </c>
      <c r="AI34" s="616">
        <f t="shared" si="4"/>
        <v>894221</v>
      </c>
      <c r="AJ34" s="617">
        <f t="shared" si="5"/>
        <v>-25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327.11709999999999</v>
      </c>
      <c r="M36" s="535">
        <f>MAX(M3:M34)</f>
        <v>21.9</v>
      </c>
      <c r="N36" s="533" t="s">
        <v>68</v>
      </c>
      <c r="O36" s="535">
        <f>SUM(O3:O33)</f>
        <v>176990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176990</v>
      </c>
      <c r="W36" s="539">
        <f>SUM(W3:W33)</f>
        <v>6250343.4433000004</v>
      </c>
      <c r="Y36" s="540">
        <f>SUM(Y3:Y33)</f>
        <v>1541.9747915536507</v>
      </c>
      <c r="Z36" s="541">
        <f>SUM(Z3:Z33)</f>
        <v>6455.9400572768227</v>
      </c>
      <c r="AA36" s="542">
        <f>SUM(AA3:AA33)</f>
        <v>6119.0331645854812</v>
      </c>
      <c r="AF36" s="621" t="s">
        <v>208</v>
      </c>
      <c r="AG36" s="534">
        <f>COUNT(AG3:AG34)</f>
        <v>30</v>
      </c>
      <c r="AJ36" s="622">
        <f>SUM(AJ3:AJ33)</f>
        <v>1603852</v>
      </c>
      <c r="AK36" s="623" t="s">
        <v>176</v>
      </c>
      <c r="AL36" s="624"/>
      <c r="AM36" s="624"/>
      <c r="AN36" s="622">
        <f>SUM(AN3:AN33)</f>
        <v>-25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312.58500000000004</v>
      </c>
      <c r="M37" s="543">
        <f>AVERAGE(M3:M34)</f>
        <v>17.334374999999998</v>
      </c>
      <c r="N37" s="533" t="s">
        <v>172</v>
      </c>
      <c r="O37" s="544">
        <f>O36*35.31467</f>
        <v>6250343.4432999995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</v>
      </c>
      <c r="AN37" s="627">
        <f>IFERROR(AN36/SUM(AM3:AM33),"")</f>
        <v>-1.4125091813096786E-4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88.678399999999996</v>
      </c>
      <c r="M38" s="544">
        <f>MIN(M3:M34)</f>
        <v>12.4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343.84350000000006</v>
      </c>
      <c r="M44" s="551">
        <f>M37*(1+$L$43)</f>
        <v>19.067812499999999</v>
      </c>
    </row>
    <row r="45" spans="1:41" x14ac:dyDescent="0.2">
      <c r="K45" s="550" t="s">
        <v>186</v>
      </c>
      <c r="L45" s="551">
        <f>L37*(1-$L$43)</f>
        <v>281.32650000000007</v>
      </c>
      <c r="M45" s="551">
        <f>M37*(1-$L$43)</f>
        <v>15.600937499999999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277</v>
      </c>
      <c r="B3" s="487">
        <v>0.375</v>
      </c>
      <c r="C3" s="488">
        <v>2013</v>
      </c>
      <c r="D3" s="488">
        <v>3</v>
      </c>
      <c r="E3" s="488">
        <v>1</v>
      </c>
      <c r="F3" s="489">
        <v>725275</v>
      </c>
      <c r="G3" s="488">
        <v>0</v>
      </c>
      <c r="H3" s="489">
        <v>329978</v>
      </c>
      <c r="I3" s="488">
        <v>0</v>
      </c>
      <c r="J3" s="488">
        <v>0</v>
      </c>
      <c r="K3" s="488">
        <v>0</v>
      </c>
      <c r="L3" s="490">
        <v>324.02839999999998</v>
      </c>
      <c r="M3" s="489">
        <v>24.2</v>
      </c>
      <c r="N3" s="491">
        <v>0</v>
      </c>
      <c r="O3" s="492">
        <v>8966</v>
      </c>
      <c r="P3" s="493">
        <f>F4-F3</f>
        <v>8966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8966</v>
      </c>
      <c r="W3" s="498">
        <f>V3*35.31467</f>
        <v>316631.33121999999</v>
      </c>
      <c r="X3" s="497"/>
      <c r="Y3" s="499">
        <f>V3*R3/1000000</f>
        <v>77.329232450183937</v>
      </c>
      <c r="Z3" s="500">
        <f>S3*V3/1000000</f>
        <v>323.76203042243009</v>
      </c>
      <c r="AA3" s="501">
        <f>W3*T3/1000000</f>
        <v>306.86632527750487</v>
      </c>
      <c r="AE3" s="598" t="str">
        <f>RIGHT(F3,6)</f>
        <v>725275</v>
      </c>
      <c r="AF3" s="486">
        <v>277</v>
      </c>
      <c r="AG3" s="491">
        <v>1</v>
      </c>
      <c r="AH3" s="599">
        <v>725275</v>
      </c>
      <c r="AI3" s="600">
        <f>IFERROR(AE3*1,0)</f>
        <v>725275</v>
      </c>
      <c r="AJ3" s="601">
        <f>(AI3-AH3)</f>
        <v>0</v>
      </c>
      <c r="AL3" s="602">
        <f>AH4-AH3</f>
        <v>8973</v>
      </c>
      <c r="AM3" s="603">
        <f>AI4-AI3</f>
        <v>8966</v>
      </c>
      <c r="AN3" s="604">
        <f>(AM3-AL3)</f>
        <v>-7</v>
      </c>
      <c r="AO3" s="605">
        <f>IFERROR(AN3/AM3,"")</f>
        <v>-7.8072719161275935E-4</v>
      </c>
    </row>
    <row r="4" spans="1:41" x14ac:dyDescent="0.2">
      <c r="A4" s="502">
        <v>277</v>
      </c>
      <c r="B4" s="503">
        <v>0.375</v>
      </c>
      <c r="C4" s="504">
        <v>2013</v>
      </c>
      <c r="D4" s="504">
        <v>3</v>
      </c>
      <c r="E4" s="504">
        <v>2</v>
      </c>
      <c r="F4" s="505">
        <v>734241</v>
      </c>
      <c r="G4" s="504">
        <v>0</v>
      </c>
      <c r="H4" s="505">
        <v>827288</v>
      </c>
      <c r="I4" s="504">
        <v>0</v>
      </c>
      <c r="J4" s="504">
        <v>0</v>
      </c>
      <c r="K4" s="504">
        <v>0</v>
      </c>
      <c r="L4" s="506">
        <v>86.730599999999995</v>
      </c>
      <c r="M4" s="505">
        <v>15.6</v>
      </c>
      <c r="N4" s="507">
        <v>0</v>
      </c>
      <c r="O4" s="508">
        <v>6668</v>
      </c>
      <c r="P4" s="493">
        <f t="shared" ref="P4:P33" si="0">F5-F4</f>
        <v>6668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6668</v>
      </c>
      <c r="W4" s="512">
        <f>V4*35.31467</f>
        <v>235478.21956</v>
      </c>
      <c r="X4" s="497"/>
      <c r="Y4" s="513">
        <f>V4*R4/1000000</f>
        <v>57.459249040007407</v>
      </c>
      <c r="Z4" s="510">
        <f>S4*V4/1000000</f>
        <v>240.57038388070296</v>
      </c>
      <c r="AA4" s="511">
        <f>W4*T4/1000000</f>
        <v>228.01608198388536</v>
      </c>
      <c r="AE4" s="598" t="str">
        <f t="shared" ref="AE4:AE34" si="3">RIGHT(F4,6)</f>
        <v>734241</v>
      </c>
      <c r="AF4" s="502">
        <v>277</v>
      </c>
      <c r="AG4" s="606">
        <v>2</v>
      </c>
      <c r="AH4" s="607">
        <v>734248</v>
      </c>
      <c r="AI4" s="608">
        <f t="shared" ref="AI4:AI34" si="4">IFERROR(AE4*1,0)</f>
        <v>734241</v>
      </c>
      <c r="AJ4" s="609">
        <f t="shared" ref="AJ4:AJ34" si="5">(AI4-AH4)</f>
        <v>-7</v>
      </c>
      <c r="AL4" s="602">
        <f t="shared" ref="AL4:AM33" si="6">AH5-AH4</f>
        <v>6668</v>
      </c>
      <c r="AM4" s="610">
        <f t="shared" si="6"/>
        <v>6668</v>
      </c>
      <c r="AN4" s="611">
        <f t="shared" ref="AN4:AN33" si="7">(AM4-AL4)</f>
        <v>0</v>
      </c>
      <c r="AO4" s="612">
        <f t="shared" ref="AO4:AO33" si="8">IFERROR(AN4/AM4,"")</f>
        <v>0</v>
      </c>
    </row>
    <row r="5" spans="1:41" x14ac:dyDescent="0.2">
      <c r="A5" s="502">
        <v>277</v>
      </c>
      <c r="B5" s="503">
        <v>0.375</v>
      </c>
      <c r="C5" s="504">
        <v>2013</v>
      </c>
      <c r="D5" s="504">
        <v>3</v>
      </c>
      <c r="E5" s="504">
        <v>3</v>
      </c>
      <c r="F5" s="505">
        <v>740909</v>
      </c>
      <c r="G5" s="504">
        <v>0</v>
      </c>
      <c r="H5" s="505">
        <v>828205</v>
      </c>
      <c r="I5" s="504">
        <v>0</v>
      </c>
      <c r="J5" s="504">
        <v>0</v>
      </c>
      <c r="K5" s="504">
        <v>0</v>
      </c>
      <c r="L5" s="506">
        <v>88.126000000000005</v>
      </c>
      <c r="M5" s="505">
        <v>12.6</v>
      </c>
      <c r="N5" s="507">
        <v>0</v>
      </c>
      <c r="O5" s="508">
        <v>6320</v>
      </c>
      <c r="P5" s="493">
        <f t="shared" si="0"/>
        <v>6320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6320</v>
      </c>
      <c r="W5" s="512">
        <f t="shared" ref="W5:W33" si="10">V5*35.31467</f>
        <v>223188.7144</v>
      </c>
      <c r="X5" s="497"/>
      <c r="Y5" s="513">
        <f t="shared" ref="Y5:Y33" si="11">V5*R5/1000000</f>
        <v>54.605921032009803</v>
      </c>
      <c r="Z5" s="510">
        <f t="shared" ref="Z5:Z33" si="12">S5*V5/1000000</f>
        <v>228.62407017681863</v>
      </c>
      <c r="AA5" s="511">
        <f t="shared" ref="AA5:AA33" si="13">W5*T5/1000000</f>
        <v>216.69319343472424</v>
      </c>
      <c r="AE5" s="598" t="str">
        <f t="shared" si="3"/>
        <v>740909</v>
      </c>
      <c r="AF5" s="502">
        <v>277</v>
      </c>
      <c r="AG5" s="606">
        <v>3</v>
      </c>
      <c r="AH5" s="607">
        <v>740916</v>
      </c>
      <c r="AI5" s="608">
        <f t="shared" si="4"/>
        <v>740909</v>
      </c>
      <c r="AJ5" s="609">
        <f t="shared" si="5"/>
        <v>-7</v>
      </c>
      <c r="AL5" s="602">
        <f t="shared" si="6"/>
        <v>6313</v>
      </c>
      <c r="AM5" s="610">
        <f t="shared" si="6"/>
        <v>6320</v>
      </c>
      <c r="AN5" s="611">
        <f t="shared" si="7"/>
        <v>7</v>
      </c>
      <c r="AO5" s="612">
        <f t="shared" si="8"/>
        <v>1.1075949367088608E-3</v>
      </c>
    </row>
    <row r="6" spans="1:41" x14ac:dyDescent="0.2">
      <c r="A6" s="502">
        <v>277</v>
      </c>
      <c r="B6" s="503">
        <v>0.375</v>
      </c>
      <c r="C6" s="504">
        <v>2013</v>
      </c>
      <c r="D6" s="504">
        <v>3</v>
      </c>
      <c r="E6" s="504">
        <v>4</v>
      </c>
      <c r="F6" s="505">
        <v>747229</v>
      </c>
      <c r="G6" s="504">
        <v>0</v>
      </c>
      <c r="H6" s="505">
        <v>829087</v>
      </c>
      <c r="I6" s="504">
        <v>0</v>
      </c>
      <c r="J6" s="504">
        <v>0</v>
      </c>
      <c r="K6" s="504">
        <v>0</v>
      </c>
      <c r="L6" s="506">
        <v>87.781000000000006</v>
      </c>
      <c r="M6" s="505">
        <v>15.3</v>
      </c>
      <c r="N6" s="507">
        <v>0</v>
      </c>
      <c r="O6" s="508">
        <v>10917</v>
      </c>
      <c r="P6" s="493">
        <f t="shared" si="0"/>
        <v>10917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10917</v>
      </c>
      <c r="W6" s="512">
        <f t="shared" si="10"/>
        <v>385530.25238999998</v>
      </c>
      <c r="X6" s="497"/>
      <c r="Y6" s="513">
        <f t="shared" si="11"/>
        <v>94.661698503998252</v>
      </c>
      <c r="Z6" s="510">
        <f t="shared" si="12"/>
        <v>396.32959929653981</v>
      </c>
      <c r="AA6" s="511">
        <f t="shared" si="13"/>
        <v>375.64691442091151</v>
      </c>
      <c r="AE6" s="598" t="str">
        <f t="shared" si="3"/>
        <v>747229</v>
      </c>
      <c r="AF6" s="502">
        <v>277</v>
      </c>
      <c r="AG6" s="606">
        <v>4</v>
      </c>
      <c r="AH6" s="607">
        <v>747229</v>
      </c>
      <c r="AI6" s="608">
        <f t="shared" si="4"/>
        <v>747229</v>
      </c>
      <c r="AJ6" s="609">
        <f t="shared" si="5"/>
        <v>0</v>
      </c>
      <c r="AL6" s="602">
        <f t="shared" si="6"/>
        <v>10924</v>
      </c>
      <c r="AM6" s="610">
        <f t="shared" si="6"/>
        <v>10917</v>
      </c>
      <c r="AN6" s="611">
        <f t="shared" si="7"/>
        <v>-7</v>
      </c>
      <c r="AO6" s="612">
        <f t="shared" si="8"/>
        <v>-6.4120179536502698E-4</v>
      </c>
    </row>
    <row r="7" spans="1:41" x14ac:dyDescent="0.2">
      <c r="A7" s="502">
        <v>277</v>
      </c>
      <c r="B7" s="503">
        <v>0.375</v>
      </c>
      <c r="C7" s="504">
        <v>2013</v>
      </c>
      <c r="D7" s="504">
        <v>3</v>
      </c>
      <c r="E7" s="504">
        <v>5</v>
      </c>
      <c r="F7" s="505">
        <v>758146</v>
      </c>
      <c r="G7" s="504">
        <v>0</v>
      </c>
      <c r="H7" s="505">
        <v>830648</v>
      </c>
      <c r="I7" s="504">
        <v>0</v>
      </c>
      <c r="J7" s="504">
        <v>0</v>
      </c>
      <c r="K7" s="504">
        <v>0</v>
      </c>
      <c r="L7" s="506">
        <v>85.812600000000003</v>
      </c>
      <c r="M7" s="505">
        <v>17</v>
      </c>
      <c r="N7" s="507">
        <v>0</v>
      </c>
      <c r="O7" s="508">
        <v>11179</v>
      </c>
      <c r="P7" s="493">
        <f t="shared" si="0"/>
        <v>11179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11179</v>
      </c>
      <c r="W7" s="512">
        <f t="shared" si="10"/>
        <v>394782.69592999999</v>
      </c>
      <c r="X7" s="497"/>
      <c r="Y7" s="513">
        <f t="shared" si="11"/>
        <v>96.852648861842866</v>
      </c>
      <c r="Z7" s="510">
        <f t="shared" si="12"/>
        <v>405.50267025476364</v>
      </c>
      <c r="AA7" s="511">
        <f t="shared" si="13"/>
        <v>384.34128346964519</v>
      </c>
      <c r="AE7" s="598" t="str">
        <f t="shared" si="3"/>
        <v>758146</v>
      </c>
      <c r="AF7" s="502">
        <v>277</v>
      </c>
      <c r="AG7" s="606">
        <v>5</v>
      </c>
      <c r="AH7" s="607">
        <v>758153</v>
      </c>
      <c r="AI7" s="608">
        <f t="shared" si="4"/>
        <v>758146</v>
      </c>
      <c r="AJ7" s="609">
        <f t="shared" si="5"/>
        <v>-7</v>
      </c>
      <c r="AL7" s="602">
        <f t="shared" si="6"/>
        <v>11179</v>
      </c>
      <c r="AM7" s="610">
        <f t="shared" si="6"/>
        <v>11179</v>
      </c>
      <c r="AN7" s="611">
        <f t="shared" si="7"/>
        <v>0</v>
      </c>
      <c r="AO7" s="612">
        <f t="shared" si="8"/>
        <v>0</v>
      </c>
    </row>
    <row r="8" spans="1:41" x14ac:dyDescent="0.2">
      <c r="A8" s="502">
        <v>277</v>
      </c>
      <c r="B8" s="503">
        <v>0.375</v>
      </c>
      <c r="C8" s="504">
        <v>2013</v>
      </c>
      <c r="D8" s="504">
        <v>3</v>
      </c>
      <c r="E8" s="504">
        <v>6</v>
      </c>
      <c r="F8" s="505">
        <v>769325</v>
      </c>
      <c r="G8" s="504">
        <v>0</v>
      </c>
      <c r="H8" s="505">
        <v>832252</v>
      </c>
      <c r="I8" s="504">
        <v>0</v>
      </c>
      <c r="J8" s="504">
        <v>0</v>
      </c>
      <c r="K8" s="504">
        <v>0</v>
      </c>
      <c r="L8" s="506">
        <v>85.927800000000005</v>
      </c>
      <c r="M8" s="505">
        <v>17.2</v>
      </c>
      <c r="N8" s="507">
        <v>0</v>
      </c>
      <c r="O8" s="508">
        <v>11075</v>
      </c>
      <c r="P8" s="493">
        <f t="shared" si="0"/>
        <v>11075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11075</v>
      </c>
      <c r="W8" s="512">
        <f t="shared" si="10"/>
        <v>391109.97025000001</v>
      </c>
      <c r="X8" s="497"/>
      <c r="Y8" s="513">
        <f t="shared" si="11"/>
        <v>96.100549560146902</v>
      </c>
      <c r="Z8" s="510">
        <f t="shared" si="12"/>
        <v>402.353780898423</v>
      </c>
      <c r="AA8" s="511">
        <f t="shared" si="13"/>
        <v>381.35672068992415</v>
      </c>
      <c r="AE8" s="598" t="str">
        <f t="shared" si="3"/>
        <v>769325</v>
      </c>
      <c r="AF8" s="502">
        <v>277</v>
      </c>
      <c r="AG8" s="606">
        <v>6</v>
      </c>
      <c r="AH8" s="607">
        <v>769332</v>
      </c>
      <c r="AI8" s="608">
        <f t="shared" si="4"/>
        <v>769325</v>
      </c>
      <c r="AJ8" s="609">
        <f t="shared" si="5"/>
        <v>-7</v>
      </c>
      <c r="AL8" s="602">
        <f t="shared" si="6"/>
        <v>11081</v>
      </c>
      <c r="AM8" s="610">
        <f t="shared" si="6"/>
        <v>11075</v>
      </c>
      <c r="AN8" s="611">
        <f t="shared" si="7"/>
        <v>-6</v>
      </c>
      <c r="AO8" s="612">
        <f t="shared" si="8"/>
        <v>-5.4176072234762981E-4</v>
      </c>
    </row>
    <row r="9" spans="1:41" x14ac:dyDescent="0.2">
      <c r="A9" s="502">
        <v>277</v>
      </c>
      <c r="B9" s="503">
        <v>0.375</v>
      </c>
      <c r="C9" s="504">
        <v>2013</v>
      </c>
      <c r="D9" s="504">
        <v>3</v>
      </c>
      <c r="E9" s="504">
        <v>7</v>
      </c>
      <c r="F9" s="505">
        <v>780400</v>
      </c>
      <c r="G9" s="504">
        <v>0</v>
      </c>
      <c r="H9" s="505">
        <v>833839</v>
      </c>
      <c r="I9" s="504">
        <v>0</v>
      </c>
      <c r="J9" s="504">
        <v>0</v>
      </c>
      <c r="K9" s="504">
        <v>0</v>
      </c>
      <c r="L9" s="506">
        <v>85.938500000000005</v>
      </c>
      <c r="M9" s="505">
        <v>17.3</v>
      </c>
      <c r="N9" s="507">
        <v>0</v>
      </c>
      <c r="O9" s="508">
        <v>10193</v>
      </c>
      <c r="P9" s="493">
        <f t="shared" si="0"/>
        <v>10193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10193</v>
      </c>
      <c r="W9" s="512">
        <f t="shared" si="10"/>
        <v>359962.43131000001</v>
      </c>
      <c r="X9" s="497"/>
      <c r="Y9" s="513">
        <f t="shared" si="11"/>
        <v>88.518288598978785</v>
      </c>
      <c r="Z9" s="510">
        <f t="shared" si="12"/>
        <v>370.60837070620431</v>
      </c>
      <c r="AA9" s="511">
        <f t="shared" si="13"/>
        <v>351.26796272963213</v>
      </c>
      <c r="AE9" s="598" t="str">
        <f t="shared" si="3"/>
        <v>780400</v>
      </c>
      <c r="AF9" s="502">
        <v>277</v>
      </c>
      <c r="AG9" s="606">
        <v>7</v>
      </c>
      <c r="AH9" s="607">
        <v>780413</v>
      </c>
      <c r="AI9" s="608">
        <f t="shared" si="4"/>
        <v>780400</v>
      </c>
      <c r="AJ9" s="609">
        <f t="shared" si="5"/>
        <v>-13</v>
      </c>
      <c r="AL9" s="602">
        <f t="shared" si="6"/>
        <v>10186</v>
      </c>
      <c r="AM9" s="610">
        <f t="shared" si="6"/>
        <v>10193</v>
      </c>
      <c r="AN9" s="611">
        <f t="shared" si="7"/>
        <v>7</v>
      </c>
      <c r="AO9" s="612">
        <f t="shared" si="8"/>
        <v>6.8674580594525649E-4</v>
      </c>
    </row>
    <row r="10" spans="1:41" x14ac:dyDescent="0.2">
      <c r="A10" s="502">
        <v>277</v>
      </c>
      <c r="B10" s="503">
        <v>0.375</v>
      </c>
      <c r="C10" s="504">
        <v>2013</v>
      </c>
      <c r="D10" s="504">
        <v>3</v>
      </c>
      <c r="E10" s="504">
        <v>8</v>
      </c>
      <c r="F10" s="505">
        <v>790593</v>
      </c>
      <c r="G10" s="504">
        <v>0</v>
      </c>
      <c r="H10" s="505">
        <v>835302</v>
      </c>
      <c r="I10" s="504">
        <v>0</v>
      </c>
      <c r="J10" s="504">
        <v>0</v>
      </c>
      <c r="K10" s="504">
        <v>0</v>
      </c>
      <c r="L10" s="506">
        <v>86.212400000000002</v>
      </c>
      <c r="M10" s="505">
        <v>18.7</v>
      </c>
      <c r="N10" s="507">
        <v>0</v>
      </c>
      <c r="O10" s="508">
        <v>8846</v>
      </c>
      <c r="P10" s="493">
        <f t="shared" si="0"/>
        <v>8846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8846</v>
      </c>
      <c r="W10" s="512">
        <f t="shared" si="10"/>
        <v>312393.57082000002</v>
      </c>
      <c r="X10" s="497"/>
      <c r="Y10" s="513">
        <f t="shared" si="11"/>
        <v>76.786885971025626</v>
      </c>
      <c r="Z10" s="510">
        <f t="shared" si="12"/>
        <v>321.49133418349015</v>
      </c>
      <c r="AA10" s="511">
        <f t="shared" si="13"/>
        <v>304.71412660937875</v>
      </c>
      <c r="AE10" s="598" t="str">
        <f t="shared" si="3"/>
        <v>790593</v>
      </c>
      <c r="AF10" s="502">
        <v>277</v>
      </c>
      <c r="AG10" s="606">
        <v>8</v>
      </c>
      <c r="AH10" s="607">
        <v>790599</v>
      </c>
      <c r="AI10" s="608">
        <f t="shared" si="4"/>
        <v>790593</v>
      </c>
      <c r="AJ10" s="609">
        <f t="shared" si="5"/>
        <v>-6</v>
      </c>
      <c r="AL10" s="602">
        <f t="shared" si="6"/>
        <v>8846</v>
      </c>
      <c r="AM10" s="610">
        <f t="shared" si="6"/>
        <v>8846</v>
      </c>
      <c r="AN10" s="611">
        <f t="shared" si="7"/>
        <v>0</v>
      </c>
      <c r="AO10" s="612">
        <f t="shared" si="8"/>
        <v>0</v>
      </c>
    </row>
    <row r="11" spans="1:41" x14ac:dyDescent="0.2">
      <c r="A11" s="502">
        <v>277</v>
      </c>
      <c r="B11" s="503">
        <v>0.375</v>
      </c>
      <c r="C11" s="504">
        <v>2013</v>
      </c>
      <c r="D11" s="504">
        <v>3</v>
      </c>
      <c r="E11" s="504">
        <v>9</v>
      </c>
      <c r="F11" s="505">
        <v>799439</v>
      </c>
      <c r="G11" s="504">
        <v>0</v>
      </c>
      <c r="H11" s="505">
        <v>836570</v>
      </c>
      <c r="I11" s="504">
        <v>0</v>
      </c>
      <c r="J11" s="504">
        <v>0</v>
      </c>
      <c r="K11" s="504">
        <v>0</v>
      </c>
      <c r="L11" s="506">
        <v>86.630899999999997</v>
      </c>
      <c r="M11" s="505">
        <v>18.8</v>
      </c>
      <c r="N11" s="507">
        <v>0</v>
      </c>
      <c r="O11" s="508">
        <v>6459</v>
      </c>
      <c r="P11" s="493">
        <f t="shared" si="0"/>
        <v>6459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6459</v>
      </c>
      <c r="W11" s="515">
        <f t="shared" si="10"/>
        <v>228097.45353</v>
      </c>
      <c r="Y11" s="513">
        <f t="shared" si="11"/>
        <v>56.106735113076439</v>
      </c>
      <c r="Z11" s="510">
        <f t="shared" si="12"/>
        <v>234.90767857142842</v>
      </c>
      <c r="AA11" s="511">
        <f t="shared" si="13"/>
        <v>222.64888816217859</v>
      </c>
      <c r="AE11" s="598" t="str">
        <f t="shared" si="3"/>
        <v>799439</v>
      </c>
      <c r="AF11" s="502">
        <v>277</v>
      </c>
      <c r="AG11" s="606">
        <v>9</v>
      </c>
      <c r="AH11" s="607">
        <v>799445</v>
      </c>
      <c r="AI11" s="608">
        <f t="shared" si="4"/>
        <v>799439</v>
      </c>
      <c r="AJ11" s="609">
        <f t="shared" si="5"/>
        <v>-6</v>
      </c>
      <c r="AL11" s="602">
        <f t="shared" si="6"/>
        <v>6460</v>
      </c>
      <c r="AM11" s="610">
        <f t="shared" si="6"/>
        <v>6459</v>
      </c>
      <c r="AN11" s="611">
        <f t="shared" si="7"/>
        <v>-1</v>
      </c>
      <c r="AO11" s="612">
        <f t="shared" si="8"/>
        <v>-1.5482272797646694E-4</v>
      </c>
    </row>
    <row r="12" spans="1:41" x14ac:dyDescent="0.2">
      <c r="A12" s="502">
        <v>277</v>
      </c>
      <c r="B12" s="503">
        <v>0.375</v>
      </c>
      <c r="C12" s="504">
        <v>2013</v>
      </c>
      <c r="D12" s="504">
        <v>3</v>
      </c>
      <c r="E12" s="504">
        <v>10</v>
      </c>
      <c r="F12" s="505">
        <v>805898</v>
      </c>
      <c r="G12" s="504">
        <v>0</v>
      </c>
      <c r="H12" s="505">
        <v>837484</v>
      </c>
      <c r="I12" s="504">
        <v>0</v>
      </c>
      <c r="J12" s="504">
        <v>0</v>
      </c>
      <c r="K12" s="504">
        <v>0</v>
      </c>
      <c r="L12" s="506">
        <v>87.867599999999996</v>
      </c>
      <c r="M12" s="505">
        <v>19.7</v>
      </c>
      <c r="N12" s="507">
        <v>0</v>
      </c>
      <c r="O12" s="508">
        <v>6752</v>
      </c>
      <c r="P12" s="493">
        <f t="shared" si="0"/>
        <v>6752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6752</v>
      </c>
      <c r="W12" s="515">
        <f t="shared" si="10"/>
        <v>238444.65184000001</v>
      </c>
      <c r="Y12" s="513">
        <f t="shared" si="11"/>
        <v>58.73493659703712</v>
      </c>
      <c r="Z12" s="510">
        <f t="shared" si="12"/>
        <v>245.91143254447502</v>
      </c>
      <c r="AA12" s="511">
        <f t="shared" si="13"/>
        <v>233.07840499452863</v>
      </c>
      <c r="AE12" s="598" t="str">
        <f t="shared" si="3"/>
        <v>805898</v>
      </c>
      <c r="AF12" s="502">
        <v>277</v>
      </c>
      <c r="AG12" s="606">
        <v>10</v>
      </c>
      <c r="AH12" s="607">
        <v>805905</v>
      </c>
      <c r="AI12" s="608">
        <f t="shared" si="4"/>
        <v>805898</v>
      </c>
      <c r="AJ12" s="609">
        <f t="shared" si="5"/>
        <v>-7</v>
      </c>
      <c r="AL12" s="602">
        <f t="shared" si="6"/>
        <v>6759</v>
      </c>
      <c r="AM12" s="610">
        <f t="shared" si="6"/>
        <v>6752</v>
      </c>
      <c r="AN12" s="611">
        <f t="shared" si="7"/>
        <v>-7</v>
      </c>
      <c r="AO12" s="612">
        <f t="shared" si="8"/>
        <v>-1.0367298578199053E-3</v>
      </c>
    </row>
    <row r="13" spans="1:41" x14ac:dyDescent="0.2">
      <c r="A13" s="502">
        <v>277</v>
      </c>
      <c r="B13" s="503">
        <v>0.375</v>
      </c>
      <c r="C13" s="504">
        <v>2013</v>
      </c>
      <c r="D13" s="504">
        <v>3</v>
      </c>
      <c r="E13" s="504">
        <v>11</v>
      </c>
      <c r="F13" s="505">
        <v>812650</v>
      </c>
      <c r="G13" s="504">
        <v>0</v>
      </c>
      <c r="H13" s="505">
        <v>838445</v>
      </c>
      <c r="I13" s="504">
        <v>0</v>
      </c>
      <c r="J13" s="504">
        <v>0</v>
      </c>
      <c r="K13" s="504">
        <v>0</v>
      </c>
      <c r="L13" s="506">
        <v>87.290899999999993</v>
      </c>
      <c r="M13" s="505">
        <v>19.600000000000001</v>
      </c>
      <c r="N13" s="507">
        <v>0</v>
      </c>
      <c r="O13" s="508">
        <v>9118</v>
      </c>
      <c r="P13" s="493">
        <f t="shared" si="0"/>
        <v>9118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9118</v>
      </c>
      <c r="W13" s="515">
        <f t="shared" si="10"/>
        <v>321999.16106000001</v>
      </c>
      <c r="Y13" s="513">
        <f t="shared" si="11"/>
        <v>79.179156504010564</v>
      </c>
      <c r="Z13" s="510">
        <f t="shared" si="12"/>
        <v>331.50729245099137</v>
      </c>
      <c r="AA13" s="511">
        <f t="shared" si="13"/>
        <v>314.207396415201</v>
      </c>
      <c r="AE13" s="598" t="str">
        <f t="shared" si="3"/>
        <v>812650</v>
      </c>
      <c r="AF13" s="502">
        <v>277</v>
      </c>
      <c r="AG13" s="606">
        <v>11</v>
      </c>
      <c r="AH13" s="607">
        <v>812664</v>
      </c>
      <c r="AI13" s="608">
        <f t="shared" si="4"/>
        <v>812650</v>
      </c>
      <c r="AJ13" s="609">
        <f t="shared" si="5"/>
        <v>-14</v>
      </c>
      <c r="AL13" s="602">
        <f t="shared" si="6"/>
        <v>9118</v>
      </c>
      <c r="AM13" s="610">
        <f t="shared" si="6"/>
        <v>9118</v>
      </c>
      <c r="AN13" s="611">
        <f t="shared" si="7"/>
        <v>0</v>
      </c>
      <c r="AO13" s="612">
        <f t="shared" si="8"/>
        <v>0</v>
      </c>
    </row>
    <row r="14" spans="1:41" x14ac:dyDescent="0.2">
      <c r="A14" s="502">
        <v>277</v>
      </c>
      <c r="B14" s="503">
        <v>0.375</v>
      </c>
      <c r="C14" s="504">
        <v>2013</v>
      </c>
      <c r="D14" s="504">
        <v>3</v>
      </c>
      <c r="E14" s="504">
        <v>12</v>
      </c>
      <c r="F14" s="505">
        <v>821768</v>
      </c>
      <c r="G14" s="504">
        <v>0</v>
      </c>
      <c r="H14" s="505">
        <v>839752</v>
      </c>
      <c r="I14" s="504">
        <v>0</v>
      </c>
      <c r="J14" s="504">
        <v>0</v>
      </c>
      <c r="K14" s="504">
        <v>0</v>
      </c>
      <c r="L14" s="506">
        <v>86.326499999999996</v>
      </c>
      <c r="M14" s="505">
        <v>18.399999999999999</v>
      </c>
      <c r="N14" s="507">
        <v>0</v>
      </c>
      <c r="O14" s="508">
        <v>8656</v>
      </c>
      <c r="P14" s="493">
        <f t="shared" si="0"/>
        <v>8656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8656</v>
      </c>
      <c r="W14" s="515">
        <f t="shared" si="10"/>
        <v>305683.78352</v>
      </c>
      <c r="Y14" s="513">
        <f t="shared" si="11"/>
        <v>75.199535434046254</v>
      </c>
      <c r="Z14" s="510">
        <f t="shared" si="12"/>
        <v>314.8454149552648</v>
      </c>
      <c r="AA14" s="511">
        <f t="shared" si="13"/>
        <v>298.41502844460723</v>
      </c>
      <c r="AE14" s="598" t="str">
        <f t="shared" si="3"/>
        <v>821768</v>
      </c>
      <c r="AF14" s="502">
        <v>277</v>
      </c>
      <c r="AG14" s="606">
        <v>12</v>
      </c>
      <c r="AH14" s="607">
        <v>821782</v>
      </c>
      <c r="AI14" s="608">
        <f t="shared" si="4"/>
        <v>821768</v>
      </c>
      <c r="AJ14" s="609">
        <f t="shared" si="5"/>
        <v>-14</v>
      </c>
      <c r="AL14" s="602">
        <f t="shared" si="6"/>
        <v>8656</v>
      </c>
      <c r="AM14" s="610">
        <f t="shared" si="6"/>
        <v>8656</v>
      </c>
      <c r="AN14" s="611">
        <f t="shared" si="7"/>
        <v>0</v>
      </c>
      <c r="AO14" s="612">
        <f t="shared" si="8"/>
        <v>0</v>
      </c>
    </row>
    <row r="15" spans="1:41" x14ac:dyDescent="0.2">
      <c r="A15" s="502">
        <v>277</v>
      </c>
      <c r="B15" s="503">
        <v>0.375</v>
      </c>
      <c r="C15" s="504">
        <v>2013</v>
      </c>
      <c r="D15" s="504">
        <v>3</v>
      </c>
      <c r="E15" s="504">
        <v>13</v>
      </c>
      <c r="F15" s="505">
        <v>830424</v>
      </c>
      <c r="G15" s="504">
        <v>0</v>
      </c>
      <c r="H15" s="505">
        <v>840992</v>
      </c>
      <c r="I15" s="504">
        <v>0</v>
      </c>
      <c r="J15" s="504">
        <v>0</v>
      </c>
      <c r="K15" s="504">
        <v>0</v>
      </c>
      <c r="L15" s="506">
        <v>86.439400000000006</v>
      </c>
      <c r="M15" s="505">
        <v>18.399999999999999</v>
      </c>
      <c r="N15" s="507">
        <v>0</v>
      </c>
      <c r="O15" s="508">
        <v>9290</v>
      </c>
      <c r="P15" s="493">
        <f t="shared" si="0"/>
        <v>9290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9290</v>
      </c>
      <c r="W15" s="515">
        <f t="shared" si="10"/>
        <v>328073.2843</v>
      </c>
      <c r="Y15" s="513">
        <f t="shared" si="11"/>
        <v>80.515852911444142</v>
      </c>
      <c r="Z15" s="510">
        <f t="shared" si="12"/>
        <v>337.10377296963435</v>
      </c>
      <c r="AA15" s="511">
        <f t="shared" si="13"/>
        <v>319.51182142452751</v>
      </c>
      <c r="AE15" s="598" t="str">
        <f t="shared" si="3"/>
        <v>830424</v>
      </c>
      <c r="AF15" s="502">
        <v>277</v>
      </c>
      <c r="AG15" s="606">
        <v>13</v>
      </c>
      <c r="AH15" s="607">
        <v>830438</v>
      </c>
      <c r="AI15" s="608">
        <f t="shared" si="4"/>
        <v>830424</v>
      </c>
      <c r="AJ15" s="609">
        <f t="shared" si="5"/>
        <v>-14</v>
      </c>
      <c r="AL15" s="602">
        <f t="shared" si="6"/>
        <v>-830438</v>
      </c>
      <c r="AM15" s="610">
        <f t="shared" si="6"/>
        <v>9290</v>
      </c>
      <c r="AN15" s="611">
        <f t="shared" si="7"/>
        <v>839728</v>
      </c>
      <c r="AO15" s="612">
        <f t="shared" si="8"/>
        <v>90.390527448869747</v>
      </c>
    </row>
    <row r="16" spans="1:41" x14ac:dyDescent="0.2">
      <c r="A16" s="502">
        <v>277</v>
      </c>
      <c r="B16" s="503">
        <v>0.375</v>
      </c>
      <c r="C16" s="504">
        <v>2013</v>
      </c>
      <c r="D16" s="504">
        <v>3</v>
      </c>
      <c r="E16" s="504">
        <v>14</v>
      </c>
      <c r="F16" s="505">
        <v>839714</v>
      </c>
      <c r="G16" s="504">
        <v>0</v>
      </c>
      <c r="H16" s="505">
        <v>842314</v>
      </c>
      <c r="I16" s="504">
        <v>0</v>
      </c>
      <c r="J16" s="504">
        <v>0</v>
      </c>
      <c r="K16" s="504">
        <v>0</v>
      </c>
      <c r="L16" s="506">
        <v>86.426299999999998</v>
      </c>
      <c r="M16" s="505">
        <v>16.2</v>
      </c>
      <c r="N16" s="507">
        <v>0</v>
      </c>
      <c r="O16" s="508">
        <v>9485</v>
      </c>
      <c r="P16" s="493">
        <f t="shared" si="0"/>
        <v>9485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9485</v>
      </c>
      <c r="W16" s="515">
        <f t="shared" si="10"/>
        <v>334959.64494999999</v>
      </c>
      <c r="Y16" s="513">
        <f t="shared" si="11"/>
        <v>81.993032465193025</v>
      </c>
      <c r="Z16" s="510">
        <f t="shared" si="12"/>
        <v>343.2884283252701</v>
      </c>
      <c r="AA16" s="511">
        <f t="shared" si="13"/>
        <v>325.37372703345744</v>
      </c>
      <c r="AE16" s="598" t="str">
        <f t="shared" si="3"/>
        <v>839714</v>
      </c>
      <c r="AF16" s="502"/>
      <c r="AG16" s="606"/>
      <c r="AH16" s="607"/>
      <c r="AI16" s="608">
        <f t="shared" si="4"/>
        <v>839714</v>
      </c>
      <c r="AJ16" s="609">
        <f t="shared" si="5"/>
        <v>839714</v>
      </c>
      <c r="AL16" s="602">
        <f t="shared" si="6"/>
        <v>0</v>
      </c>
      <c r="AM16" s="610">
        <f t="shared" si="6"/>
        <v>9485</v>
      </c>
      <c r="AN16" s="611">
        <f t="shared" si="7"/>
        <v>9485</v>
      </c>
      <c r="AO16" s="612">
        <f t="shared" si="8"/>
        <v>1</v>
      </c>
    </row>
    <row r="17" spans="1:41" x14ac:dyDescent="0.2">
      <c r="A17" s="502">
        <v>277</v>
      </c>
      <c r="B17" s="503">
        <v>0.375</v>
      </c>
      <c r="C17" s="504">
        <v>2013</v>
      </c>
      <c r="D17" s="504">
        <v>3</v>
      </c>
      <c r="E17" s="504">
        <v>15</v>
      </c>
      <c r="F17" s="505">
        <v>849199</v>
      </c>
      <c r="G17" s="504">
        <v>0</v>
      </c>
      <c r="H17" s="505">
        <v>843659</v>
      </c>
      <c r="I17" s="504">
        <v>0</v>
      </c>
      <c r="J17" s="504">
        <v>0</v>
      </c>
      <c r="K17" s="504">
        <v>0</v>
      </c>
      <c r="L17" s="506">
        <v>86.394099999999995</v>
      </c>
      <c r="M17" s="505">
        <v>15.6</v>
      </c>
      <c r="N17" s="507">
        <v>0</v>
      </c>
      <c r="O17" s="508">
        <v>8235</v>
      </c>
      <c r="P17" s="493">
        <f t="shared" si="0"/>
        <v>8235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8235</v>
      </c>
      <c r="W17" s="515">
        <f t="shared" si="10"/>
        <v>290816.30745000002</v>
      </c>
      <c r="Y17" s="513">
        <f t="shared" si="11"/>
        <v>72.079994864546208</v>
      </c>
      <c r="Z17" s="510">
        <f t="shared" si="12"/>
        <v>301.78452249888204</v>
      </c>
      <c r="AA17" s="511">
        <f t="shared" si="13"/>
        <v>286.0357260671621</v>
      </c>
      <c r="AE17" s="598" t="str">
        <f t="shared" si="3"/>
        <v>849199</v>
      </c>
      <c r="AF17" s="502"/>
      <c r="AG17" s="606"/>
      <c r="AH17" s="607"/>
      <c r="AI17" s="608">
        <f t="shared" si="4"/>
        <v>849199</v>
      </c>
      <c r="AJ17" s="609">
        <f t="shared" si="5"/>
        <v>849199</v>
      </c>
      <c r="AL17" s="602">
        <f t="shared" si="6"/>
        <v>0</v>
      </c>
      <c r="AM17" s="610">
        <f t="shared" si="6"/>
        <v>8235</v>
      </c>
      <c r="AN17" s="611">
        <f t="shared" si="7"/>
        <v>8235</v>
      </c>
      <c r="AO17" s="612">
        <f t="shared" si="8"/>
        <v>1</v>
      </c>
    </row>
    <row r="18" spans="1:41" x14ac:dyDescent="0.2">
      <c r="A18" s="502">
        <v>277</v>
      </c>
      <c r="B18" s="503">
        <v>0.375</v>
      </c>
      <c r="C18" s="504">
        <v>2013</v>
      </c>
      <c r="D18" s="504">
        <v>3</v>
      </c>
      <c r="E18" s="504">
        <v>16</v>
      </c>
      <c r="F18" s="505">
        <v>857434</v>
      </c>
      <c r="G18" s="504">
        <v>0</v>
      </c>
      <c r="H18" s="505">
        <v>844820</v>
      </c>
      <c r="I18" s="504">
        <v>0</v>
      </c>
      <c r="J18" s="504">
        <v>0</v>
      </c>
      <c r="K18" s="504">
        <v>0</v>
      </c>
      <c r="L18" s="506">
        <v>86.775599999999997</v>
      </c>
      <c r="M18" s="505">
        <v>14.9</v>
      </c>
      <c r="N18" s="507">
        <v>0</v>
      </c>
      <c r="O18" s="508">
        <v>3467</v>
      </c>
      <c r="P18" s="493">
        <f t="shared" si="0"/>
        <v>3467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3467</v>
      </c>
      <c r="W18" s="515">
        <f t="shared" si="10"/>
        <v>122435.96089</v>
      </c>
      <c r="Y18" s="513">
        <f t="shared" si="11"/>
        <v>30.346246775395471</v>
      </c>
      <c r="Z18" s="510">
        <f t="shared" si="12"/>
        <v>127.05366599922577</v>
      </c>
      <c r="AA18" s="511">
        <f t="shared" si="13"/>
        <v>120.42329839403169</v>
      </c>
      <c r="AE18" s="598" t="str">
        <f t="shared" si="3"/>
        <v>857434</v>
      </c>
      <c r="AF18" s="502"/>
      <c r="AG18" s="606"/>
      <c r="AH18" s="607"/>
      <c r="AI18" s="608">
        <f t="shared" si="4"/>
        <v>857434</v>
      </c>
      <c r="AJ18" s="609">
        <f t="shared" si="5"/>
        <v>857434</v>
      </c>
      <c r="AL18" s="602">
        <f t="shared" si="6"/>
        <v>860908</v>
      </c>
      <c r="AM18" s="610">
        <f t="shared" si="6"/>
        <v>3467</v>
      </c>
      <c r="AN18" s="611">
        <f t="shared" si="7"/>
        <v>-857441</v>
      </c>
      <c r="AO18" s="612">
        <f t="shared" si="8"/>
        <v>-247.31496971445054</v>
      </c>
    </row>
    <row r="19" spans="1:41" x14ac:dyDescent="0.2">
      <c r="A19" s="502">
        <v>277</v>
      </c>
      <c r="B19" s="503">
        <v>0.375</v>
      </c>
      <c r="C19" s="504">
        <v>2013</v>
      </c>
      <c r="D19" s="504">
        <v>3</v>
      </c>
      <c r="E19" s="504">
        <v>17</v>
      </c>
      <c r="F19" s="505">
        <v>860901</v>
      </c>
      <c r="G19" s="504">
        <v>0</v>
      </c>
      <c r="H19" s="505">
        <v>845304</v>
      </c>
      <c r="I19" s="504">
        <v>0</v>
      </c>
      <c r="J19" s="504">
        <v>0</v>
      </c>
      <c r="K19" s="504">
        <v>0</v>
      </c>
      <c r="L19" s="506">
        <v>88.694100000000006</v>
      </c>
      <c r="M19" s="505">
        <v>12.8</v>
      </c>
      <c r="N19" s="507">
        <v>0</v>
      </c>
      <c r="O19" s="508">
        <v>333</v>
      </c>
      <c r="P19" s="493">
        <f t="shared" si="0"/>
        <v>333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333</v>
      </c>
      <c r="W19" s="515">
        <f t="shared" si="10"/>
        <v>11759.785110000001</v>
      </c>
      <c r="Y19" s="513">
        <f t="shared" si="11"/>
        <v>2.9147101748505024</v>
      </c>
      <c r="Z19" s="510">
        <f t="shared" si="12"/>
        <v>12.203308560064086</v>
      </c>
      <c r="AA19" s="511">
        <f t="shared" si="13"/>
        <v>11.566471983043714</v>
      </c>
      <c r="AE19" s="598" t="str">
        <f t="shared" si="3"/>
        <v>860901</v>
      </c>
      <c r="AF19" s="502">
        <v>277</v>
      </c>
      <c r="AG19" s="606">
        <v>17</v>
      </c>
      <c r="AH19" s="607">
        <v>860908</v>
      </c>
      <c r="AI19" s="608">
        <f t="shared" si="4"/>
        <v>860901</v>
      </c>
      <c r="AJ19" s="609">
        <f t="shared" si="5"/>
        <v>-7</v>
      </c>
      <c r="AL19" s="602">
        <f t="shared" si="6"/>
        <v>325</v>
      </c>
      <c r="AM19" s="610">
        <f t="shared" si="6"/>
        <v>333</v>
      </c>
      <c r="AN19" s="611">
        <f t="shared" si="7"/>
        <v>8</v>
      </c>
      <c r="AO19" s="612">
        <f t="shared" si="8"/>
        <v>2.4024024024024024E-2</v>
      </c>
    </row>
    <row r="20" spans="1:41" x14ac:dyDescent="0.2">
      <c r="A20" s="502">
        <v>277</v>
      </c>
      <c r="B20" s="503">
        <v>0.375</v>
      </c>
      <c r="C20" s="504">
        <v>2013</v>
      </c>
      <c r="D20" s="504">
        <v>3</v>
      </c>
      <c r="E20" s="504">
        <v>18</v>
      </c>
      <c r="F20" s="505">
        <v>861234</v>
      </c>
      <c r="G20" s="504">
        <v>0</v>
      </c>
      <c r="H20" s="505">
        <v>845351</v>
      </c>
      <c r="I20" s="504">
        <v>0</v>
      </c>
      <c r="J20" s="504">
        <v>0</v>
      </c>
      <c r="K20" s="504">
        <v>0</v>
      </c>
      <c r="L20" s="506">
        <v>88.823700000000002</v>
      </c>
      <c r="M20" s="505">
        <v>17.600000000000001</v>
      </c>
      <c r="N20" s="507">
        <v>0</v>
      </c>
      <c r="O20" s="508">
        <v>1481</v>
      </c>
      <c r="P20" s="493">
        <f t="shared" si="0"/>
        <v>1481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1481</v>
      </c>
      <c r="W20" s="515">
        <f t="shared" si="10"/>
        <v>52301.026270000002</v>
      </c>
      <c r="Y20" s="513">
        <f t="shared" si="11"/>
        <v>12.963020327187971</v>
      </c>
      <c r="Z20" s="510">
        <f t="shared" si="12"/>
        <v>54.273573505870594</v>
      </c>
      <c r="AA20" s="511">
        <f t="shared" si="13"/>
        <v>51.441276296960183</v>
      </c>
      <c r="AE20" s="598" t="str">
        <f t="shared" si="3"/>
        <v>861234</v>
      </c>
      <c r="AF20" s="502">
        <v>277</v>
      </c>
      <c r="AG20" s="606">
        <v>18</v>
      </c>
      <c r="AH20" s="607">
        <v>861233</v>
      </c>
      <c r="AI20" s="608">
        <f t="shared" si="4"/>
        <v>861234</v>
      </c>
      <c r="AJ20" s="609">
        <f t="shared" si="5"/>
        <v>1</v>
      </c>
      <c r="AL20" s="602">
        <f t="shared" si="6"/>
        <v>1509</v>
      </c>
      <c r="AM20" s="610">
        <f t="shared" si="6"/>
        <v>1481</v>
      </c>
      <c r="AN20" s="611">
        <f t="shared" si="7"/>
        <v>-28</v>
      </c>
      <c r="AO20" s="612">
        <f t="shared" si="8"/>
        <v>-1.8906144496961513E-2</v>
      </c>
    </row>
    <row r="21" spans="1:41" x14ac:dyDescent="0.2">
      <c r="A21" s="502">
        <v>277</v>
      </c>
      <c r="B21" s="503">
        <v>0.375</v>
      </c>
      <c r="C21" s="504">
        <v>2013</v>
      </c>
      <c r="D21" s="504">
        <v>3</v>
      </c>
      <c r="E21" s="504">
        <v>19</v>
      </c>
      <c r="F21" s="505">
        <v>862715</v>
      </c>
      <c r="G21" s="504">
        <v>0</v>
      </c>
      <c r="H21" s="505">
        <v>845559</v>
      </c>
      <c r="I21" s="504">
        <v>0</v>
      </c>
      <c r="J21" s="504">
        <v>0</v>
      </c>
      <c r="K21" s="504">
        <v>0</v>
      </c>
      <c r="L21" s="506">
        <v>88.073300000000003</v>
      </c>
      <c r="M21" s="505">
        <v>19.8</v>
      </c>
      <c r="N21" s="507">
        <v>0</v>
      </c>
      <c r="O21" s="508">
        <v>7682</v>
      </c>
      <c r="P21" s="493">
        <f t="shared" si="0"/>
        <v>7682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7682</v>
      </c>
      <c r="W21" s="515">
        <f t="shared" si="10"/>
        <v>271287.29493999999</v>
      </c>
      <c r="Y21" s="513">
        <f t="shared" si="11"/>
        <v>67.239650339944632</v>
      </c>
      <c r="Z21" s="510">
        <f t="shared" si="12"/>
        <v>281.51896804328021</v>
      </c>
      <c r="AA21" s="511">
        <f t="shared" si="13"/>
        <v>266.82774106228771</v>
      </c>
      <c r="AE21" s="598" t="str">
        <f t="shared" si="3"/>
        <v>862715</v>
      </c>
      <c r="AF21" s="502">
        <v>277</v>
      </c>
      <c r="AG21" s="606">
        <v>19</v>
      </c>
      <c r="AH21" s="607">
        <v>862742</v>
      </c>
      <c r="AI21" s="608">
        <f t="shared" si="4"/>
        <v>862715</v>
      </c>
      <c r="AJ21" s="609">
        <f t="shared" si="5"/>
        <v>-27</v>
      </c>
      <c r="AL21" s="602">
        <f t="shared" si="6"/>
        <v>7662</v>
      </c>
      <c r="AM21" s="610">
        <f t="shared" si="6"/>
        <v>7682</v>
      </c>
      <c r="AN21" s="611">
        <f t="shared" si="7"/>
        <v>20</v>
      </c>
      <c r="AO21" s="612">
        <f t="shared" si="8"/>
        <v>2.6034886748242643E-3</v>
      </c>
    </row>
    <row r="22" spans="1:41" x14ac:dyDescent="0.2">
      <c r="A22" s="502">
        <v>277</v>
      </c>
      <c r="B22" s="503">
        <v>0.375</v>
      </c>
      <c r="C22" s="504">
        <v>2013</v>
      </c>
      <c r="D22" s="504">
        <v>3</v>
      </c>
      <c r="E22" s="504">
        <v>20</v>
      </c>
      <c r="F22" s="505">
        <v>870397</v>
      </c>
      <c r="G22" s="504">
        <v>0</v>
      </c>
      <c r="H22" s="505">
        <v>846663</v>
      </c>
      <c r="I22" s="504">
        <v>0</v>
      </c>
      <c r="J22" s="504">
        <v>0</v>
      </c>
      <c r="K22" s="504">
        <v>0</v>
      </c>
      <c r="L22" s="506">
        <v>86.574600000000004</v>
      </c>
      <c r="M22" s="505">
        <v>19.7</v>
      </c>
      <c r="N22" s="507">
        <v>0</v>
      </c>
      <c r="O22" s="508">
        <v>9956</v>
      </c>
      <c r="P22" s="493">
        <f t="shared" si="0"/>
        <v>9956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9956</v>
      </c>
      <c r="W22" s="515">
        <f t="shared" si="10"/>
        <v>351592.85451999999</v>
      </c>
      <c r="Y22" s="513">
        <f t="shared" si="11"/>
        <v>87.143707209644447</v>
      </c>
      <c r="Z22" s="510">
        <f t="shared" si="12"/>
        <v>364.8532733453394</v>
      </c>
      <c r="AA22" s="511">
        <f t="shared" si="13"/>
        <v>345.81319838793752</v>
      </c>
      <c r="AE22" s="598" t="str">
        <f t="shared" si="3"/>
        <v>870397</v>
      </c>
      <c r="AF22" s="502">
        <v>277</v>
      </c>
      <c r="AG22" s="606">
        <v>20</v>
      </c>
      <c r="AH22" s="607">
        <v>870404</v>
      </c>
      <c r="AI22" s="608">
        <f t="shared" si="4"/>
        <v>870397</v>
      </c>
      <c r="AJ22" s="609">
        <f t="shared" si="5"/>
        <v>-7</v>
      </c>
      <c r="AL22" s="602">
        <f t="shared" si="6"/>
        <v>9963</v>
      </c>
      <c r="AM22" s="610">
        <f t="shared" si="6"/>
        <v>9956</v>
      </c>
      <c r="AN22" s="611">
        <f t="shared" si="7"/>
        <v>-7</v>
      </c>
      <c r="AO22" s="612">
        <f t="shared" si="8"/>
        <v>-7.0309361189232621E-4</v>
      </c>
    </row>
    <row r="23" spans="1:41" x14ac:dyDescent="0.2">
      <c r="A23" s="502">
        <v>277</v>
      </c>
      <c r="B23" s="503">
        <v>0.375</v>
      </c>
      <c r="C23" s="504">
        <v>2013</v>
      </c>
      <c r="D23" s="504">
        <v>3</v>
      </c>
      <c r="E23" s="504">
        <v>21</v>
      </c>
      <c r="F23" s="505">
        <v>880353</v>
      </c>
      <c r="G23" s="504">
        <v>0</v>
      </c>
      <c r="H23" s="505">
        <v>848096</v>
      </c>
      <c r="I23" s="504">
        <v>0</v>
      </c>
      <c r="J23" s="504">
        <v>0</v>
      </c>
      <c r="K23" s="504">
        <v>0</v>
      </c>
      <c r="L23" s="506">
        <v>86.062100000000001</v>
      </c>
      <c r="M23" s="505">
        <v>19.100000000000001</v>
      </c>
      <c r="N23" s="507">
        <v>0</v>
      </c>
      <c r="O23" s="508">
        <v>10404</v>
      </c>
      <c r="P23" s="493">
        <f t="shared" si="0"/>
        <v>10404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10404</v>
      </c>
      <c r="W23" s="515">
        <f t="shared" si="10"/>
        <v>367413.82668</v>
      </c>
      <c r="Y23" s="513">
        <f t="shared" si="11"/>
        <v>91.064998976410294</v>
      </c>
      <c r="Z23" s="510">
        <f t="shared" si="12"/>
        <v>381.27093771443464</v>
      </c>
      <c r="AA23" s="511">
        <f t="shared" si="13"/>
        <v>361.37409763239276</v>
      </c>
      <c r="AE23" s="598" t="str">
        <f t="shared" si="3"/>
        <v>880353</v>
      </c>
      <c r="AF23" s="502">
        <v>277</v>
      </c>
      <c r="AG23" s="606">
        <v>21</v>
      </c>
      <c r="AH23" s="607">
        <v>880367</v>
      </c>
      <c r="AI23" s="608">
        <f t="shared" si="4"/>
        <v>880353</v>
      </c>
      <c r="AJ23" s="609">
        <f t="shared" si="5"/>
        <v>-14</v>
      </c>
      <c r="AL23" s="602">
        <f t="shared" si="6"/>
        <v>10404</v>
      </c>
      <c r="AM23" s="610">
        <f t="shared" si="6"/>
        <v>10404</v>
      </c>
      <c r="AN23" s="611">
        <f t="shared" si="7"/>
        <v>0</v>
      </c>
      <c r="AO23" s="612">
        <f t="shared" si="8"/>
        <v>0</v>
      </c>
    </row>
    <row r="24" spans="1:41" x14ac:dyDescent="0.2">
      <c r="A24" s="502">
        <v>277</v>
      </c>
      <c r="B24" s="503">
        <v>0.375</v>
      </c>
      <c r="C24" s="504">
        <v>2013</v>
      </c>
      <c r="D24" s="504">
        <v>3</v>
      </c>
      <c r="E24" s="504">
        <v>22</v>
      </c>
      <c r="F24" s="505">
        <v>890757</v>
      </c>
      <c r="G24" s="504">
        <v>0</v>
      </c>
      <c r="H24" s="505">
        <v>849601</v>
      </c>
      <c r="I24" s="504">
        <v>0</v>
      </c>
      <c r="J24" s="504">
        <v>0</v>
      </c>
      <c r="K24" s="504">
        <v>0</v>
      </c>
      <c r="L24" s="506">
        <v>85.9465</v>
      </c>
      <c r="M24" s="505">
        <v>19.5</v>
      </c>
      <c r="N24" s="507">
        <v>0</v>
      </c>
      <c r="O24" s="508">
        <v>9583</v>
      </c>
      <c r="P24" s="493">
        <f t="shared" si="0"/>
        <v>9583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9583</v>
      </c>
      <c r="W24" s="515">
        <f t="shared" si="10"/>
        <v>338420.48261000001</v>
      </c>
      <c r="Y24" s="513">
        <f t="shared" si="11"/>
        <v>83.878881698475567</v>
      </c>
      <c r="Z24" s="510">
        <f t="shared" si="12"/>
        <v>351.18410189517755</v>
      </c>
      <c r="AA24" s="511">
        <f t="shared" si="13"/>
        <v>332.85736040092462</v>
      </c>
      <c r="AE24" s="598" t="str">
        <f t="shared" si="3"/>
        <v>890757</v>
      </c>
      <c r="AF24" s="502">
        <v>277</v>
      </c>
      <c r="AG24" s="606">
        <v>22</v>
      </c>
      <c r="AH24" s="607">
        <v>890771</v>
      </c>
      <c r="AI24" s="608">
        <f t="shared" si="4"/>
        <v>890757</v>
      </c>
      <c r="AJ24" s="609">
        <f t="shared" si="5"/>
        <v>-14</v>
      </c>
      <c r="AL24" s="602">
        <f t="shared" si="6"/>
        <v>9583</v>
      </c>
      <c r="AM24" s="610">
        <f t="shared" si="6"/>
        <v>9583</v>
      </c>
      <c r="AN24" s="611">
        <f t="shared" si="7"/>
        <v>0</v>
      </c>
      <c r="AO24" s="612">
        <f t="shared" si="8"/>
        <v>0</v>
      </c>
    </row>
    <row r="25" spans="1:41" x14ac:dyDescent="0.2">
      <c r="A25" s="502">
        <v>277</v>
      </c>
      <c r="B25" s="503">
        <v>0.375</v>
      </c>
      <c r="C25" s="504">
        <v>2013</v>
      </c>
      <c r="D25" s="504">
        <v>3</v>
      </c>
      <c r="E25" s="504">
        <v>23</v>
      </c>
      <c r="F25" s="505">
        <v>900340</v>
      </c>
      <c r="G25" s="504">
        <v>0</v>
      </c>
      <c r="H25" s="505">
        <v>850978</v>
      </c>
      <c r="I25" s="504">
        <v>0</v>
      </c>
      <c r="J25" s="504">
        <v>0</v>
      </c>
      <c r="K25" s="504">
        <v>0</v>
      </c>
      <c r="L25" s="506">
        <v>86.388300000000001</v>
      </c>
      <c r="M25" s="505">
        <v>19.600000000000001</v>
      </c>
      <c r="N25" s="507">
        <v>0</v>
      </c>
      <c r="O25" s="508">
        <v>6808</v>
      </c>
      <c r="P25" s="493">
        <f t="shared" si="0"/>
        <v>6808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6808</v>
      </c>
      <c r="W25" s="515">
        <f t="shared" si="10"/>
        <v>240422.27335999999</v>
      </c>
      <c r="Y25" s="513">
        <f t="shared" si="11"/>
        <v>59.589630241388051</v>
      </c>
      <c r="Z25" s="510">
        <f t="shared" si="12"/>
        <v>249.48986389464349</v>
      </c>
      <c r="AA25" s="511">
        <f t="shared" si="13"/>
        <v>236.47009387556034</v>
      </c>
      <c r="AE25" s="598" t="str">
        <f t="shared" si="3"/>
        <v>900340</v>
      </c>
      <c r="AF25" s="502">
        <v>277</v>
      </c>
      <c r="AG25" s="606">
        <v>23</v>
      </c>
      <c r="AH25" s="607">
        <v>900354</v>
      </c>
      <c r="AI25" s="608">
        <f t="shared" si="4"/>
        <v>900340</v>
      </c>
      <c r="AJ25" s="609">
        <f t="shared" si="5"/>
        <v>-14</v>
      </c>
      <c r="AL25" s="602">
        <f t="shared" si="6"/>
        <v>6815</v>
      </c>
      <c r="AM25" s="610">
        <f t="shared" si="6"/>
        <v>6808</v>
      </c>
      <c r="AN25" s="611">
        <f t="shared" si="7"/>
        <v>-7</v>
      </c>
      <c r="AO25" s="612">
        <f t="shared" si="8"/>
        <v>-1.0282021151586369E-3</v>
      </c>
    </row>
    <row r="26" spans="1:41" x14ac:dyDescent="0.2">
      <c r="A26" s="502">
        <v>277</v>
      </c>
      <c r="B26" s="503">
        <v>0.375</v>
      </c>
      <c r="C26" s="504">
        <v>2013</v>
      </c>
      <c r="D26" s="504">
        <v>3</v>
      </c>
      <c r="E26" s="504">
        <v>24</v>
      </c>
      <c r="F26" s="505">
        <v>907148</v>
      </c>
      <c r="G26" s="504">
        <v>0</v>
      </c>
      <c r="H26" s="505">
        <v>851947</v>
      </c>
      <c r="I26" s="504">
        <v>0</v>
      </c>
      <c r="J26" s="504">
        <v>0</v>
      </c>
      <c r="K26" s="504">
        <v>0</v>
      </c>
      <c r="L26" s="506">
        <v>87.537499999999994</v>
      </c>
      <c r="M26" s="505">
        <v>20.100000000000001</v>
      </c>
      <c r="N26" s="507">
        <v>0</v>
      </c>
      <c r="O26" s="508">
        <v>8045</v>
      </c>
      <c r="P26" s="493">
        <f t="shared" si="0"/>
        <v>8045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8045</v>
      </c>
      <c r="W26" s="515">
        <f t="shared" si="10"/>
        <v>284106.52015</v>
      </c>
      <c r="Y26" s="513">
        <f t="shared" si="11"/>
        <v>70.41694701703392</v>
      </c>
      <c r="Z26" s="510">
        <f t="shared" si="12"/>
        <v>294.82167377091758</v>
      </c>
      <c r="AA26" s="511">
        <f t="shared" si="13"/>
        <v>279.43623754830833</v>
      </c>
      <c r="AE26" s="598" t="str">
        <f t="shared" si="3"/>
        <v>907148</v>
      </c>
      <c r="AF26" s="502">
        <v>277</v>
      </c>
      <c r="AG26" s="606">
        <v>24</v>
      </c>
      <c r="AH26" s="607">
        <v>907169</v>
      </c>
      <c r="AI26" s="608">
        <f t="shared" si="4"/>
        <v>907148</v>
      </c>
      <c r="AJ26" s="609">
        <f t="shared" si="5"/>
        <v>-21</v>
      </c>
      <c r="AL26" s="602">
        <f t="shared" si="6"/>
        <v>8045</v>
      </c>
      <c r="AM26" s="610">
        <f t="shared" si="6"/>
        <v>8045</v>
      </c>
      <c r="AN26" s="611">
        <f t="shared" si="7"/>
        <v>0</v>
      </c>
      <c r="AO26" s="612">
        <f t="shared" si="8"/>
        <v>0</v>
      </c>
    </row>
    <row r="27" spans="1:41" x14ac:dyDescent="0.2">
      <c r="A27" s="502">
        <v>277</v>
      </c>
      <c r="B27" s="503">
        <v>0.375</v>
      </c>
      <c r="C27" s="504">
        <v>2013</v>
      </c>
      <c r="D27" s="504">
        <v>3</v>
      </c>
      <c r="E27" s="504">
        <v>25</v>
      </c>
      <c r="F27" s="505">
        <v>915193</v>
      </c>
      <c r="G27" s="504">
        <v>0</v>
      </c>
      <c r="H27" s="505">
        <v>853098</v>
      </c>
      <c r="I27" s="504">
        <v>0</v>
      </c>
      <c r="J27" s="504">
        <v>0</v>
      </c>
      <c r="K27" s="504">
        <v>0</v>
      </c>
      <c r="L27" s="506">
        <v>86.9221</v>
      </c>
      <c r="M27" s="505">
        <v>19.399999999999999</v>
      </c>
      <c r="N27" s="507">
        <v>0</v>
      </c>
      <c r="O27" s="508">
        <v>11393</v>
      </c>
      <c r="P27" s="493">
        <f t="shared" si="0"/>
        <v>11393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11393</v>
      </c>
      <c r="W27" s="515">
        <f t="shared" si="10"/>
        <v>402340.03531000001</v>
      </c>
      <c r="Y27" s="513">
        <f t="shared" si="11"/>
        <v>99.721600666882196</v>
      </c>
      <c r="Z27" s="510">
        <f t="shared" si="12"/>
        <v>417.51439767210246</v>
      </c>
      <c r="AA27" s="511">
        <f t="shared" si="13"/>
        <v>395.72617208053157</v>
      </c>
      <c r="AE27" s="598" t="str">
        <f t="shared" si="3"/>
        <v>915193</v>
      </c>
      <c r="AF27" s="502">
        <v>277</v>
      </c>
      <c r="AG27" s="606">
        <v>25</v>
      </c>
      <c r="AH27" s="607">
        <v>915214</v>
      </c>
      <c r="AI27" s="608">
        <f t="shared" si="4"/>
        <v>915193</v>
      </c>
      <c r="AJ27" s="609">
        <f t="shared" si="5"/>
        <v>-21</v>
      </c>
      <c r="AL27" s="602">
        <f t="shared" si="6"/>
        <v>11393</v>
      </c>
      <c r="AM27" s="610">
        <f t="shared" si="6"/>
        <v>11393</v>
      </c>
      <c r="AN27" s="611">
        <f t="shared" si="7"/>
        <v>0</v>
      </c>
      <c r="AO27" s="612">
        <f t="shared" si="8"/>
        <v>0</v>
      </c>
    </row>
    <row r="28" spans="1:41" x14ac:dyDescent="0.2">
      <c r="A28" s="502">
        <v>277</v>
      </c>
      <c r="B28" s="503">
        <v>0.375</v>
      </c>
      <c r="C28" s="504">
        <v>2013</v>
      </c>
      <c r="D28" s="504">
        <v>3</v>
      </c>
      <c r="E28" s="504">
        <v>26</v>
      </c>
      <c r="F28" s="505">
        <v>926586</v>
      </c>
      <c r="G28" s="504">
        <v>0</v>
      </c>
      <c r="H28" s="505">
        <v>854741</v>
      </c>
      <c r="I28" s="504">
        <v>0</v>
      </c>
      <c r="J28" s="504">
        <v>0</v>
      </c>
      <c r="K28" s="504">
        <v>0</v>
      </c>
      <c r="L28" s="506">
        <v>85.846299999999999</v>
      </c>
      <c r="M28" s="505">
        <v>18.7</v>
      </c>
      <c r="N28" s="507">
        <v>0</v>
      </c>
      <c r="O28" s="508">
        <v>10475</v>
      </c>
      <c r="P28" s="493">
        <f t="shared" si="0"/>
        <v>10475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10475</v>
      </c>
      <c r="W28" s="515">
        <f t="shared" si="10"/>
        <v>369921.16824999999</v>
      </c>
      <c r="Y28" s="513">
        <f t="shared" si="11"/>
        <v>91.686453698375416</v>
      </c>
      <c r="Z28" s="510">
        <f t="shared" si="12"/>
        <v>383.87284434435821</v>
      </c>
      <c r="AA28" s="511">
        <f t="shared" si="13"/>
        <v>363.84022228943815</v>
      </c>
      <c r="AE28" s="598" t="str">
        <f t="shared" si="3"/>
        <v>926586</v>
      </c>
      <c r="AF28" s="502">
        <v>277</v>
      </c>
      <c r="AG28" s="606">
        <v>26</v>
      </c>
      <c r="AH28" s="607">
        <v>926607</v>
      </c>
      <c r="AI28" s="608">
        <f t="shared" si="4"/>
        <v>926586</v>
      </c>
      <c r="AJ28" s="609">
        <f t="shared" si="5"/>
        <v>-21</v>
      </c>
      <c r="AL28" s="602">
        <f t="shared" si="6"/>
        <v>10475</v>
      </c>
      <c r="AM28" s="610">
        <f t="shared" si="6"/>
        <v>10475</v>
      </c>
      <c r="AN28" s="611">
        <f t="shared" si="7"/>
        <v>0</v>
      </c>
      <c r="AO28" s="612">
        <f t="shared" si="8"/>
        <v>0</v>
      </c>
    </row>
    <row r="29" spans="1:41" x14ac:dyDescent="0.2">
      <c r="A29" s="502">
        <v>277</v>
      </c>
      <c r="B29" s="503">
        <v>0.375</v>
      </c>
      <c r="C29" s="504">
        <v>2013</v>
      </c>
      <c r="D29" s="504">
        <v>3</v>
      </c>
      <c r="E29" s="504">
        <v>27</v>
      </c>
      <c r="F29" s="505">
        <v>937061</v>
      </c>
      <c r="G29" s="504">
        <v>0</v>
      </c>
      <c r="H29" s="505">
        <v>856232</v>
      </c>
      <c r="I29" s="504">
        <v>0</v>
      </c>
      <c r="J29" s="504">
        <v>0</v>
      </c>
      <c r="K29" s="504">
        <v>0</v>
      </c>
      <c r="L29" s="506">
        <v>86.266800000000003</v>
      </c>
      <c r="M29" s="505">
        <v>16.8</v>
      </c>
      <c r="N29" s="507">
        <v>0</v>
      </c>
      <c r="O29" s="508">
        <v>7552</v>
      </c>
      <c r="P29" s="493">
        <f t="shared" si="0"/>
        <v>7552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7552</v>
      </c>
      <c r="W29" s="515">
        <f t="shared" si="10"/>
        <v>266696.38783999998</v>
      </c>
      <c r="Y29" s="513">
        <f t="shared" si="11"/>
        <v>66.101775496909895</v>
      </c>
      <c r="Z29" s="510">
        <f t="shared" si="12"/>
        <v>276.75491365046236</v>
      </c>
      <c r="AA29" s="511">
        <f t="shared" si="13"/>
        <v>262.31230154938771</v>
      </c>
      <c r="AE29" s="598" t="str">
        <f t="shared" si="3"/>
        <v>937061</v>
      </c>
      <c r="AF29" s="502">
        <v>277</v>
      </c>
      <c r="AG29" s="606">
        <v>27</v>
      </c>
      <c r="AH29" s="607">
        <v>937082</v>
      </c>
      <c r="AI29" s="608">
        <f t="shared" si="4"/>
        <v>937061</v>
      </c>
      <c r="AJ29" s="609">
        <f t="shared" si="5"/>
        <v>-21</v>
      </c>
      <c r="AL29" s="602">
        <f t="shared" si="6"/>
        <v>7531</v>
      </c>
      <c r="AM29" s="610">
        <f t="shared" si="6"/>
        <v>7552</v>
      </c>
      <c r="AN29" s="611">
        <f t="shared" si="7"/>
        <v>21</v>
      </c>
      <c r="AO29" s="612">
        <f t="shared" si="8"/>
        <v>2.7807203389830508E-3</v>
      </c>
    </row>
    <row r="30" spans="1:41" x14ac:dyDescent="0.2">
      <c r="A30" s="502">
        <v>277</v>
      </c>
      <c r="B30" s="503">
        <v>0.375</v>
      </c>
      <c r="C30" s="504">
        <v>2013</v>
      </c>
      <c r="D30" s="504">
        <v>3</v>
      </c>
      <c r="E30" s="504">
        <v>28</v>
      </c>
      <c r="F30" s="505">
        <v>944613</v>
      </c>
      <c r="G30" s="504">
        <v>0</v>
      </c>
      <c r="H30" s="505">
        <v>857316</v>
      </c>
      <c r="I30" s="504">
        <v>0</v>
      </c>
      <c r="J30" s="504">
        <v>0</v>
      </c>
      <c r="K30" s="504">
        <v>0</v>
      </c>
      <c r="L30" s="506">
        <v>87.295100000000005</v>
      </c>
      <c r="M30" s="505">
        <v>18.8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944613</v>
      </c>
      <c r="AF30" s="502">
        <v>277</v>
      </c>
      <c r="AG30" s="606">
        <v>28</v>
      </c>
      <c r="AH30" s="607">
        <v>944613</v>
      </c>
      <c r="AI30" s="608">
        <f t="shared" si="4"/>
        <v>944613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277</v>
      </c>
      <c r="B31" s="503">
        <v>0.375</v>
      </c>
      <c r="C31" s="504">
        <v>2013</v>
      </c>
      <c r="D31" s="504">
        <v>3</v>
      </c>
      <c r="E31" s="504">
        <v>29</v>
      </c>
      <c r="F31" s="505">
        <v>944613</v>
      </c>
      <c r="G31" s="504">
        <v>0</v>
      </c>
      <c r="H31" s="505">
        <v>857316</v>
      </c>
      <c r="I31" s="504">
        <v>0</v>
      </c>
      <c r="J31" s="504">
        <v>0</v>
      </c>
      <c r="K31" s="504">
        <v>0</v>
      </c>
      <c r="L31" s="506">
        <v>89.2624</v>
      </c>
      <c r="M31" s="505">
        <v>19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944613</v>
      </c>
      <c r="AF31" s="502">
        <v>277</v>
      </c>
      <c r="AG31" s="606">
        <v>29</v>
      </c>
      <c r="AH31" s="607">
        <v>944613</v>
      </c>
      <c r="AI31" s="608">
        <f t="shared" si="4"/>
        <v>944613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277</v>
      </c>
      <c r="B32" s="503">
        <v>0.375</v>
      </c>
      <c r="C32" s="504">
        <v>2013</v>
      </c>
      <c r="D32" s="504">
        <v>3</v>
      </c>
      <c r="E32" s="504">
        <v>30</v>
      </c>
      <c r="F32" s="505">
        <v>944613</v>
      </c>
      <c r="G32" s="504">
        <v>0</v>
      </c>
      <c r="H32" s="505">
        <v>857316</v>
      </c>
      <c r="I32" s="504">
        <v>0</v>
      </c>
      <c r="J32" s="504">
        <v>0</v>
      </c>
      <c r="K32" s="504">
        <v>0</v>
      </c>
      <c r="L32" s="506">
        <v>92.340100000000007</v>
      </c>
      <c r="M32" s="505">
        <v>21.3</v>
      </c>
      <c r="N32" s="507">
        <v>0</v>
      </c>
      <c r="O32" s="508">
        <v>316</v>
      </c>
      <c r="P32" s="493">
        <f t="shared" si="0"/>
        <v>316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316</v>
      </c>
      <c r="W32" s="515">
        <f t="shared" si="10"/>
        <v>11159.435719999999</v>
      </c>
      <c r="Y32" s="513">
        <f t="shared" si="11"/>
        <v>2.7659111569151915</v>
      </c>
      <c r="Z32" s="510">
        <f t="shared" si="12"/>
        <v>11.580316831772524</v>
      </c>
      <c r="AA32" s="511">
        <f t="shared" si="13"/>
        <v>10.975991431356796</v>
      </c>
      <c r="AE32" s="598" t="str">
        <f t="shared" si="3"/>
        <v>944613</v>
      </c>
      <c r="AF32" s="502">
        <v>277</v>
      </c>
      <c r="AG32" s="606">
        <v>30</v>
      </c>
      <c r="AH32" s="607">
        <v>944613</v>
      </c>
      <c r="AI32" s="608">
        <f t="shared" si="4"/>
        <v>944613</v>
      </c>
      <c r="AJ32" s="609">
        <f t="shared" si="5"/>
        <v>0</v>
      </c>
      <c r="AL32" s="602">
        <f t="shared" si="6"/>
        <v>315</v>
      </c>
      <c r="AM32" s="610">
        <f t="shared" si="6"/>
        <v>316</v>
      </c>
      <c r="AN32" s="611">
        <f t="shared" si="7"/>
        <v>1</v>
      </c>
      <c r="AO32" s="612">
        <f t="shared" si="8"/>
        <v>3.1645569620253164E-3</v>
      </c>
    </row>
    <row r="33" spans="1:41" ht="13.5" thickBot="1" x14ac:dyDescent="0.25">
      <c r="A33" s="502">
        <v>277</v>
      </c>
      <c r="B33" s="503">
        <v>0.375</v>
      </c>
      <c r="C33" s="504">
        <v>2013</v>
      </c>
      <c r="D33" s="504">
        <v>3</v>
      </c>
      <c r="E33" s="504">
        <v>31</v>
      </c>
      <c r="F33" s="505">
        <v>944929</v>
      </c>
      <c r="G33" s="504">
        <v>0</v>
      </c>
      <c r="H33" s="505">
        <v>857360</v>
      </c>
      <c r="I33" s="504">
        <v>0</v>
      </c>
      <c r="J33" s="504">
        <v>0</v>
      </c>
      <c r="K33" s="504">
        <v>0</v>
      </c>
      <c r="L33" s="506">
        <v>91.831400000000002</v>
      </c>
      <c r="M33" s="505">
        <v>21.9</v>
      </c>
      <c r="N33" s="507">
        <v>0</v>
      </c>
      <c r="O33" s="508">
        <v>951</v>
      </c>
      <c r="P33" s="493">
        <f t="shared" si="0"/>
        <v>951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951</v>
      </c>
      <c r="W33" s="519">
        <f t="shared" si="10"/>
        <v>33584.251170000003</v>
      </c>
      <c r="Y33" s="513">
        <f t="shared" si="11"/>
        <v>8.3239921209694536</v>
      </c>
      <c r="Z33" s="510">
        <f t="shared" si="12"/>
        <v>34.850890212074908</v>
      </c>
      <c r="AA33" s="511">
        <f t="shared" si="13"/>
        <v>33.032176744368087</v>
      </c>
      <c r="AE33" s="598" t="str">
        <f t="shared" si="3"/>
        <v>944929</v>
      </c>
      <c r="AF33" s="502">
        <v>277</v>
      </c>
      <c r="AG33" s="606">
        <v>31</v>
      </c>
      <c r="AH33" s="607">
        <v>944928</v>
      </c>
      <c r="AI33" s="608">
        <f t="shared" si="4"/>
        <v>944929</v>
      </c>
      <c r="AJ33" s="609">
        <f t="shared" si="5"/>
        <v>1</v>
      </c>
      <c r="AL33" s="602">
        <f t="shared" si="6"/>
        <v>958</v>
      </c>
      <c r="AM33" s="613">
        <f t="shared" si="6"/>
        <v>951</v>
      </c>
      <c r="AN33" s="611">
        <f t="shared" si="7"/>
        <v>-7</v>
      </c>
      <c r="AO33" s="612">
        <f t="shared" si="8"/>
        <v>-7.3606729758149319E-3</v>
      </c>
    </row>
    <row r="34" spans="1:41" ht="13.5" thickBot="1" x14ac:dyDescent="0.25">
      <c r="A34" s="148">
        <v>277</v>
      </c>
      <c r="B34" s="520">
        <v>0.375</v>
      </c>
      <c r="C34" s="146">
        <v>2013</v>
      </c>
      <c r="D34" s="146">
        <v>4</v>
      </c>
      <c r="E34" s="146">
        <v>1</v>
      </c>
      <c r="F34" s="521">
        <v>945880</v>
      </c>
      <c r="G34" s="146">
        <v>0</v>
      </c>
      <c r="H34" s="521">
        <v>857496</v>
      </c>
      <c r="I34" s="146">
        <v>0</v>
      </c>
      <c r="J34" s="146">
        <v>0</v>
      </c>
      <c r="K34" s="146">
        <v>0</v>
      </c>
      <c r="L34" s="522">
        <v>88.7577</v>
      </c>
      <c r="M34" s="521">
        <v>21.7</v>
      </c>
      <c r="N34" s="523">
        <v>0</v>
      </c>
      <c r="O34" s="524">
        <v>5649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945880</v>
      </c>
      <c r="AF34" s="148">
        <v>277</v>
      </c>
      <c r="AG34" s="614">
        <v>1</v>
      </c>
      <c r="AH34" s="615">
        <v>945886</v>
      </c>
      <c r="AI34" s="616">
        <f t="shared" si="4"/>
        <v>945880</v>
      </c>
      <c r="AJ34" s="617">
        <f t="shared" si="5"/>
        <v>-6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324.02839999999998</v>
      </c>
      <c r="M36" s="535">
        <f>MAX(M3:M34)</f>
        <v>24.2</v>
      </c>
      <c r="N36" s="533" t="s">
        <v>68</v>
      </c>
      <c r="O36" s="535">
        <f>SUM(O3:O33)</f>
        <v>220605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220605</v>
      </c>
      <c r="W36" s="539">
        <f>SUM(W3:W33)</f>
        <v>7790592.7753500007</v>
      </c>
      <c r="Y36" s="540">
        <f>SUM(Y3:Y33)</f>
        <v>1920.2812438079302</v>
      </c>
      <c r="Z36" s="541">
        <f>SUM(Z3:Z33)</f>
        <v>8039.8335115750415</v>
      </c>
      <c r="AA36" s="542">
        <f>SUM(AA3:AA33)</f>
        <v>7620.2702408337982</v>
      </c>
      <c r="AF36" s="621" t="s">
        <v>208</v>
      </c>
      <c r="AG36" s="534">
        <f>COUNT(AG3:AG34)</f>
        <v>29</v>
      </c>
      <c r="AJ36" s="622">
        <f>SUM(AJ3:AJ33)</f>
        <v>2546080</v>
      </c>
      <c r="AK36" s="623" t="s">
        <v>176</v>
      </c>
      <c r="AL36" s="624"/>
      <c r="AM36" s="624"/>
      <c r="AN36" s="622">
        <f>SUM(AN3:AN33)</f>
        <v>-6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94.729081249999979</v>
      </c>
      <c r="M37" s="543">
        <f>AVERAGE(M3:M34)</f>
        <v>18.290625000000002</v>
      </c>
      <c r="N37" s="533" t="s">
        <v>172</v>
      </c>
      <c r="O37" s="544">
        <f>O36*35.31467</f>
        <v>7790592.7753499998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3</v>
      </c>
      <c r="AN37" s="627">
        <f>IFERROR(AN36/SUM(AM3:AM33),"")</f>
        <v>-2.719793295709526E-5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85.812600000000003</v>
      </c>
      <c r="M38" s="544">
        <f>MIN(M3:M34)</f>
        <v>12.6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104.20198937499998</v>
      </c>
      <c r="M44" s="551">
        <f>M37*(1+$L$43)</f>
        <v>20.119687500000005</v>
      </c>
    </row>
    <row r="45" spans="1:41" x14ac:dyDescent="0.2">
      <c r="K45" s="550" t="s">
        <v>186</v>
      </c>
      <c r="L45" s="551">
        <f>L37*(1-$L$43)</f>
        <v>85.256173124999989</v>
      </c>
      <c r="M45" s="551">
        <f>M37*(1-$L$43)</f>
        <v>16.461562500000003</v>
      </c>
    </row>
    <row r="47" spans="1:41" x14ac:dyDescent="0.2">
      <c r="A47" s="533" t="s">
        <v>187</v>
      </c>
      <c r="B47" s="688" t="s">
        <v>238</v>
      </c>
    </row>
    <row r="48" spans="1:41" x14ac:dyDescent="0.2">
      <c r="A48" s="533" t="s">
        <v>189</v>
      </c>
      <c r="B48" s="553">
        <v>41199</v>
      </c>
    </row>
  </sheetData>
  <phoneticPr fontId="0" type="noConversion"/>
  <conditionalFormatting sqref="L3:L34">
    <cfRule type="cellIs" dxfId="1679" priority="47" stopIfTrue="1" operator="lessThan">
      <formula>$L$45</formula>
    </cfRule>
    <cfRule type="cellIs" dxfId="1678" priority="48" stopIfTrue="1" operator="greaterThan">
      <formula>$L$44</formula>
    </cfRule>
  </conditionalFormatting>
  <conditionalFormatting sqref="M3:M34">
    <cfRule type="cellIs" dxfId="1677" priority="45" stopIfTrue="1" operator="lessThan">
      <formula>$M$45</formula>
    </cfRule>
    <cfRule type="cellIs" dxfId="1676" priority="46" stopIfTrue="1" operator="greaterThan">
      <formula>$M$44</formula>
    </cfRule>
  </conditionalFormatting>
  <conditionalFormatting sqref="O3:O34">
    <cfRule type="cellIs" dxfId="1675" priority="44" stopIfTrue="1" operator="lessThan">
      <formula>0</formula>
    </cfRule>
  </conditionalFormatting>
  <conditionalFormatting sqref="O3:O33">
    <cfRule type="cellIs" dxfId="1674" priority="43" stopIfTrue="1" operator="lessThan">
      <formula>0</formula>
    </cfRule>
  </conditionalFormatting>
  <conditionalFormatting sqref="O3">
    <cfRule type="cellIs" dxfId="1673" priority="42" stopIfTrue="1" operator="notEqual">
      <formula>$P$3</formula>
    </cfRule>
  </conditionalFormatting>
  <conditionalFormatting sqref="O4">
    <cfRule type="cellIs" dxfId="1672" priority="41" stopIfTrue="1" operator="notEqual">
      <formula>P$4</formula>
    </cfRule>
  </conditionalFormatting>
  <conditionalFormatting sqref="O5">
    <cfRule type="cellIs" dxfId="1671" priority="40" stopIfTrue="1" operator="notEqual">
      <formula>$P$5</formula>
    </cfRule>
  </conditionalFormatting>
  <conditionalFormatting sqref="O6">
    <cfRule type="cellIs" dxfId="1670" priority="39" stopIfTrue="1" operator="notEqual">
      <formula>$P$6</formula>
    </cfRule>
  </conditionalFormatting>
  <conditionalFormatting sqref="O7">
    <cfRule type="cellIs" dxfId="1669" priority="38" stopIfTrue="1" operator="notEqual">
      <formula>$P$7</formula>
    </cfRule>
  </conditionalFormatting>
  <conditionalFormatting sqref="O8">
    <cfRule type="cellIs" dxfId="1668" priority="37" stopIfTrue="1" operator="notEqual">
      <formula>$P$8</formula>
    </cfRule>
  </conditionalFormatting>
  <conditionalFormatting sqref="O9">
    <cfRule type="cellIs" dxfId="1667" priority="36" stopIfTrue="1" operator="notEqual">
      <formula>$P$9</formula>
    </cfRule>
  </conditionalFormatting>
  <conditionalFormatting sqref="O10">
    <cfRule type="cellIs" dxfId="1666" priority="34" stopIfTrue="1" operator="notEqual">
      <formula>$P$10</formula>
    </cfRule>
    <cfRule type="cellIs" dxfId="1665" priority="35" stopIfTrue="1" operator="greaterThan">
      <formula>$P$10</formula>
    </cfRule>
  </conditionalFormatting>
  <conditionalFormatting sqref="O11">
    <cfRule type="cellIs" dxfId="1664" priority="32" stopIfTrue="1" operator="notEqual">
      <formula>$P$11</formula>
    </cfRule>
    <cfRule type="cellIs" dxfId="1663" priority="33" stopIfTrue="1" operator="greaterThan">
      <formula>$P$11</formula>
    </cfRule>
  </conditionalFormatting>
  <conditionalFormatting sqref="O12">
    <cfRule type="cellIs" dxfId="1662" priority="31" stopIfTrue="1" operator="notEqual">
      <formula>$P$12</formula>
    </cfRule>
  </conditionalFormatting>
  <conditionalFormatting sqref="O14">
    <cfRule type="cellIs" dxfId="1661" priority="30" stopIfTrue="1" operator="notEqual">
      <formula>$P$14</formula>
    </cfRule>
  </conditionalFormatting>
  <conditionalFormatting sqref="O15">
    <cfRule type="cellIs" dxfId="1660" priority="29" stopIfTrue="1" operator="notEqual">
      <formula>$P$15</formula>
    </cfRule>
  </conditionalFormatting>
  <conditionalFormatting sqref="O16">
    <cfRule type="cellIs" dxfId="1659" priority="28" stopIfTrue="1" operator="notEqual">
      <formula>$P$16</formula>
    </cfRule>
  </conditionalFormatting>
  <conditionalFormatting sqref="O17">
    <cfRule type="cellIs" dxfId="1658" priority="27" stopIfTrue="1" operator="notEqual">
      <formula>$P$17</formula>
    </cfRule>
  </conditionalFormatting>
  <conditionalFormatting sqref="O18">
    <cfRule type="cellIs" dxfId="1657" priority="26" stopIfTrue="1" operator="notEqual">
      <formula>$P$18</formula>
    </cfRule>
  </conditionalFormatting>
  <conditionalFormatting sqref="O19">
    <cfRule type="cellIs" dxfId="1656" priority="24" stopIfTrue="1" operator="notEqual">
      <formula>$P$19</formula>
    </cfRule>
    <cfRule type="cellIs" dxfId="1655" priority="25" stopIfTrue="1" operator="greaterThan">
      <formula>$P$19</formula>
    </cfRule>
  </conditionalFormatting>
  <conditionalFormatting sqref="O20">
    <cfRule type="cellIs" dxfId="1654" priority="22" stopIfTrue="1" operator="notEqual">
      <formula>$P$20</formula>
    </cfRule>
    <cfRule type="cellIs" dxfId="1653" priority="23" stopIfTrue="1" operator="greaterThan">
      <formula>$P$20</formula>
    </cfRule>
  </conditionalFormatting>
  <conditionalFormatting sqref="O21">
    <cfRule type="cellIs" dxfId="1652" priority="21" stopIfTrue="1" operator="notEqual">
      <formula>$P$21</formula>
    </cfRule>
  </conditionalFormatting>
  <conditionalFormatting sqref="O22">
    <cfRule type="cellIs" dxfId="1651" priority="20" stopIfTrue="1" operator="notEqual">
      <formula>$P$22</formula>
    </cfRule>
  </conditionalFormatting>
  <conditionalFormatting sqref="O23">
    <cfRule type="cellIs" dxfId="1650" priority="19" stopIfTrue="1" operator="notEqual">
      <formula>$P$23</formula>
    </cfRule>
  </conditionalFormatting>
  <conditionalFormatting sqref="O24">
    <cfRule type="cellIs" dxfId="1649" priority="17" stopIfTrue="1" operator="notEqual">
      <formula>$P$24</formula>
    </cfRule>
    <cfRule type="cellIs" dxfId="1648" priority="18" stopIfTrue="1" operator="greaterThan">
      <formula>$P$24</formula>
    </cfRule>
  </conditionalFormatting>
  <conditionalFormatting sqref="O25">
    <cfRule type="cellIs" dxfId="1647" priority="15" stopIfTrue="1" operator="notEqual">
      <formula>$P$25</formula>
    </cfRule>
    <cfRule type="cellIs" dxfId="1646" priority="16" stopIfTrue="1" operator="greaterThan">
      <formula>$P$25</formula>
    </cfRule>
  </conditionalFormatting>
  <conditionalFormatting sqref="O26">
    <cfRule type="cellIs" dxfId="1645" priority="14" stopIfTrue="1" operator="notEqual">
      <formula>$P$26</formula>
    </cfRule>
  </conditionalFormatting>
  <conditionalFormatting sqref="O27">
    <cfRule type="cellIs" dxfId="1644" priority="13" stopIfTrue="1" operator="notEqual">
      <formula>$P$27</formula>
    </cfRule>
  </conditionalFormatting>
  <conditionalFormatting sqref="O28">
    <cfRule type="cellIs" dxfId="1643" priority="12" stopIfTrue="1" operator="notEqual">
      <formula>$P$28</formula>
    </cfRule>
  </conditionalFormatting>
  <conditionalFormatting sqref="O29">
    <cfRule type="cellIs" dxfId="1642" priority="11" stopIfTrue="1" operator="notEqual">
      <formula>$P$29</formula>
    </cfRule>
  </conditionalFormatting>
  <conditionalFormatting sqref="O30">
    <cfRule type="cellIs" dxfId="1641" priority="10" stopIfTrue="1" operator="notEqual">
      <formula>$P$30</formula>
    </cfRule>
  </conditionalFormatting>
  <conditionalFormatting sqref="O31">
    <cfRule type="cellIs" dxfId="1640" priority="8" stopIfTrue="1" operator="notEqual">
      <formula>$P$31</formula>
    </cfRule>
    <cfRule type="cellIs" dxfId="1639" priority="9" stopIfTrue="1" operator="greaterThan">
      <formula>$P$31</formula>
    </cfRule>
  </conditionalFormatting>
  <conditionalFormatting sqref="O32">
    <cfRule type="cellIs" dxfId="1638" priority="6" stopIfTrue="1" operator="notEqual">
      <formula>$P$32</formula>
    </cfRule>
    <cfRule type="cellIs" dxfId="1637" priority="7" stopIfTrue="1" operator="greaterThan">
      <formula>$P$32</formula>
    </cfRule>
  </conditionalFormatting>
  <conditionalFormatting sqref="O33">
    <cfRule type="cellIs" dxfId="1636" priority="5" stopIfTrue="1" operator="notEqual">
      <formula>$P$33</formula>
    </cfRule>
  </conditionalFormatting>
  <conditionalFormatting sqref="O13">
    <cfRule type="cellIs" dxfId="1635" priority="4" stopIfTrue="1" operator="notEqual">
      <formula>$P$13</formula>
    </cfRule>
  </conditionalFormatting>
  <conditionalFormatting sqref="AG3:AG34">
    <cfRule type="cellIs" dxfId="1634" priority="3" stopIfTrue="1" operator="notEqual">
      <formula>E3</formula>
    </cfRule>
  </conditionalFormatting>
  <conditionalFormatting sqref="AH3:AH34">
    <cfRule type="cellIs" dxfId="1633" priority="2" stopIfTrue="1" operator="notBetween">
      <formula>AI3+$AG$40</formula>
      <formula>AI3-$AG$40</formula>
    </cfRule>
  </conditionalFormatting>
  <conditionalFormatting sqref="AL3:AL33">
    <cfRule type="cellIs" dxfId="16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320</v>
      </c>
      <c r="B3" s="487">
        <v>0.375</v>
      </c>
      <c r="C3" s="488">
        <v>2013</v>
      </c>
      <c r="D3" s="488">
        <v>3</v>
      </c>
      <c r="E3" s="488">
        <v>1</v>
      </c>
      <c r="F3" s="489">
        <v>309253</v>
      </c>
      <c r="G3" s="488">
        <v>0</v>
      </c>
      <c r="H3" s="489">
        <v>84213</v>
      </c>
      <c r="I3" s="488">
        <v>0</v>
      </c>
      <c r="J3" s="488">
        <v>0</v>
      </c>
      <c r="K3" s="488">
        <v>0</v>
      </c>
      <c r="L3" s="490">
        <v>323.94130000000001</v>
      </c>
      <c r="M3" s="489">
        <v>19.5</v>
      </c>
      <c r="N3" s="491">
        <v>0</v>
      </c>
      <c r="O3" s="492">
        <v>6904</v>
      </c>
      <c r="P3" s="493">
        <f>F4-F3</f>
        <v>6904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6904</v>
      </c>
      <c r="W3" s="498">
        <f>V3*35.31467</f>
        <v>243812.48168</v>
      </c>
      <c r="X3" s="497"/>
      <c r="Y3" s="499">
        <f>V3*R3/1000000</f>
        <v>59.545061436099701</v>
      </c>
      <c r="Z3" s="500">
        <f>S3*V3/1000000</f>
        <v>249.30326322066222</v>
      </c>
      <c r="AA3" s="501">
        <f>W3*T3/1000000</f>
        <v>236.29323106356162</v>
      </c>
      <c r="AE3" s="598" t="str">
        <f>RIGHT(F3,6)</f>
        <v>309253</v>
      </c>
      <c r="AF3" s="486">
        <v>320</v>
      </c>
      <c r="AG3" s="491">
        <v>1</v>
      </c>
      <c r="AH3" s="599">
        <v>309253</v>
      </c>
      <c r="AI3" s="600">
        <f>IFERROR(AE3*1,0)</f>
        <v>309253</v>
      </c>
      <c r="AJ3" s="601">
        <f>(AI3-AH3)</f>
        <v>0</v>
      </c>
      <c r="AL3" s="602">
        <f>AH4-AH3</f>
        <v>6280</v>
      </c>
      <c r="AM3" s="603">
        <f>AI4-AI3</f>
        <v>6904</v>
      </c>
      <c r="AN3" s="604">
        <f>(AM3-AL3)</f>
        <v>624</v>
      </c>
      <c r="AO3" s="605">
        <f>IFERROR(AN3/AM3,"")</f>
        <v>9.0382387022016217E-2</v>
      </c>
    </row>
    <row r="4" spans="1:41" x14ac:dyDescent="0.2">
      <c r="A4" s="502">
        <v>320</v>
      </c>
      <c r="B4" s="503">
        <v>0.375</v>
      </c>
      <c r="C4" s="504">
        <v>2013</v>
      </c>
      <c r="D4" s="504">
        <v>3</v>
      </c>
      <c r="E4" s="504">
        <v>2</v>
      </c>
      <c r="F4" s="505">
        <v>316157</v>
      </c>
      <c r="G4" s="504">
        <v>0</v>
      </c>
      <c r="H4" s="505">
        <v>14647</v>
      </c>
      <c r="I4" s="504">
        <v>0</v>
      </c>
      <c r="J4" s="504">
        <v>0</v>
      </c>
      <c r="K4" s="504">
        <v>0</v>
      </c>
      <c r="L4" s="506">
        <v>310.47120000000001</v>
      </c>
      <c r="M4" s="505">
        <v>59.3</v>
      </c>
      <c r="N4" s="507">
        <v>0</v>
      </c>
      <c r="O4" s="508">
        <v>193</v>
      </c>
      <c r="P4" s="493">
        <f t="shared" ref="P4:P33" si="0">F5-F4</f>
        <v>193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193</v>
      </c>
      <c r="W4" s="512">
        <f>V4*35.31467</f>
        <v>6815.7313100000001</v>
      </c>
      <c r="X4" s="497"/>
      <c r="Y4" s="513">
        <f>V4*R4/1000000</f>
        <v>1.6631126371807783</v>
      </c>
      <c r="Z4" s="510">
        <f>S4*V4/1000000</f>
        <v>6.9631199893484812</v>
      </c>
      <c r="AA4" s="511">
        <f>W4*T4/1000000</f>
        <v>6.5997456243086194</v>
      </c>
      <c r="AE4" s="598" t="str">
        <f t="shared" ref="AE4:AE34" si="3">RIGHT(F4,6)</f>
        <v>316157</v>
      </c>
      <c r="AF4" s="502">
        <v>320</v>
      </c>
      <c r="AG4" s="606">
        <v>2</v>
      </c>
      <c r="AH4" s="607">
        <v>315533</v>
      </c>
      <c r="AI4" s="608">
        <f t="shared" ref="AI4:AI34" si="4">IFERROR(AE4*1,0)</f>
        <v>316157</v>
      </c>
      <c r="AJ4" s="609">
        <f t="shared" ref="AJ4:AJ34" si="5">(AI4-AH4)</f>
        <v>624</v>
      </c>
      <c r="AL4" s="602">
        <f t="shared" ref="AL4:AM33" si="6">AH5-AH4</f>
        <v>754</v>
      </c>
      <c r="AM4" s="610">
        <f t="shared" si="6"/>
        <v>193</v>
      </c>
      <c r="AN4" s="611">
        <f t="shared" ref="AN4:AN33" si="7">(AM4-AL4)</f>
        <v>-561</v>
      </c>
      <c r="AO4" s="612">
        <f t="shared" ref="AO4:AO33" si="8">IFERROR(AN4/AM4,"")</f>
        <v>-2.9067357512953369</v>
      </c>
    </row>
    <row r="5" spans="1:41" x14ac:dyDescent="0.2">
      <c r="A5" s="502">
        <v>320</v>
      </c>
      <c r="B5" s="503">
        <v>0.375</v>
      </c>
      <c r="C5" s="504">
        <v>2013</v>
      </c>
      <c r="D5" s="504">
        <v>3</v>
      </c>
      <c r="E5" s="504">
        <v>3</v>
      </c>
      <c r="F5" s="505">
        <v>316350</v>
      </c>
      <c r="G5" s="504">
        <v>0</v>
      </c>
      <c r="H5" s="505">
        <v>14655</v>
      </c>
      <c r="I5" s="504">
        <v>0</v>
      </c>
      <c r="J5" s="504">
        <v>0</v>
      </c>
      <c r="K5" s="504">
        <v>0</v>
      </c>
      <c r="L5" s="506">
        <v>316.41660000000002</v>
      </c>
      <c r="M5" s="505">
        <v>8.4</v>
      </c>
      <c r="N5" s="507">
        <v>0</v>
      </c>
      <c r="O5" s="508">
        <v>220</v>
      </c>
      <c r="P5" s="493">
        <f t="shared" si="0"/>
        <v>220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220</v>
      </c>
      <c r="W5" s="512">
        <f t="shared" ref="W5:W33" si="10">V5*35.31467</f>
        <v>7769.2273999999998</v>
      </c>
      <c r="X5" s="497"/>
      <c r="Y5" s="513">
        <f t="shared" ref="Y5:Y33" si="11">V5*R5/1000000</f>
        <v>1.9008390232661641</v>
      </c>
      <c r="Z5" s="510">
        <f t="shared" ref="Z5:Z33" si="12">S5*V5/1000000</f>
        <v>7.9584328226107752</v>
      </c>
      <c r="AA5" s="511">
        <f t="shared" ref="AA5:AA33" si="13">W5*T5/1000000</f>
        <v>7.5431174929809064</v>
      </c>
      <c r="AE5" s="598" t="str">
        <f t="shared" si="3"/>
        <v>316350</v>
      </c>
      <c r="AF5" s="502">
        <v>320</v>
      </c>
      <c r="AG5" s="606">
        <v>3</v>
      </c>
      <c r="AH5" s="607">
        <v>316287</v>
      </c>
      <c r="AI5" s="608">
        <f t="shared" si="4"/>
        <v>316350</v>
      </c>
      <c r="AJ5" s="609">
        <f t="shared" si="5"/>
        <v>63</v>
      </c>
      <c r="AL5" s="602">
        <f t="shared" si="6"/>
        <v>65</v>
      </c>
      <c r="AM5" s="610">
        <f t="shared" si="6"/>
        <v>220</v>
      </c>
      <c r="AN5" s="611">
        <f t="shared" si="7"/>
        <v>155</v>
      </c>
      <c r="AO5" s="612">
        <f t="shared" si="8"/>
        <v>0.70454545454545459</v>
      </c>
    </row>
    <row r="6" spans="1:41" x14ac:dyDescent="0.2">
      <c r="A6" s="502">
        <v>320</v>
      </c>
      <c r="B6" s="503">
        <v>0.375</v>
      </c>
      <c r="C6" s="504">
        <v>2013</v>
      </c>
      <c r="D6" s="504">
        <v>3</v>
      </c>
      <c r="E6" s="504">
        <v>4</v>
      </c>
      <c r="F6" s="505">
        <v>316570</v>
      </c>
      <c r="G6" s="504">
        <v>0</v>
      </c>
      <c r="H6" s="505">
        <v>14664</v>
      </c>
      <c r="I6" s="504">
        <v>0</v>
      </c>
      <c r="J6" s="504">
        <v>0</v>
      </c>
      <c r="K6" s="504">
        <v>0</v>
      </c>
      <c r="L6" s="506">
        <v>316.90719999999999</v>
      </c>
      <c r="M6" s="505">
        <v>9.3000000000000007</v>
      </c>
      <c r="N6" s="507">
        <v>0</v>
      </c>
      <c r="O6" s="508">
        <v>4266</v>
      </c>
      <c r="P6" s="493">
        <f t="shared" si="0"/>
        <v>4266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4266</v>
      </c>
      <c r="W6" s="512">
        <f t="shared" si="10"/>
        <v>150652.38222</v>
      </c>
      <c r="X6" s="497"/>
      <c r="Y6" s="513">
        <f t="shared" si="11"/>
        <v>36.990638986723141</v>
      </c>
      <c r="Z6" s="510">
        <f t="shared" si="12"/>
        <v>154.87240730961241</v>
      </c>
      <c r="AA6" s="511">
        <f t="shared" si="13"/>
        <v>146.7903029146843</v>
      </c>
      <c r="AE6" s="598" t="str">
        <f t="shared" si="3"/>
        <v>316570</v>
      </c>
      <c r="AF6" s="502">
        <v>320</v>
      </c>
      <c r="AG6" s="606">
        <v>4</v>
      </c>
      <c r="AH6" s="607">
        <v>316352</v>
      </c>
      <c r="AI6" s="608">
        <f t="shared" si="4"/>
        <v>316570</v>
      </c>
      <c r="AJ6" s="609">
        <f t="shared" si="5"/>
        <v>218</v>
      </c>
      <c r="AL6" s="602">
        <f t="shared" si="6"/>
        <v>534</v>
      </c>
      <c r="AM6" s="610">
        <f t="shared" si="6"/>
        <v>4266</v>
      </c>
      <c r="AN6" s="611">
        <f t="shared" si="7"/>
        <v>3732</v>
      </c>
      <c r="AO6" s="612">
        <f t="shared" si="8"/>
        <v>0.87482419127988753</v>
      </c>
    </row>
    <row r="7" spans="1:41" x14ac:dyDescent="0.2">
      <c r="A7" s="502">
        <v>320</v>
      </c>
      <c r="B7" s="503">
        <v>0.375</v>
      </c>
      <c r="C7" s="504">
        <v>2013</v>
      </c>
      <c r="D7" s="504">
        <v>3</v>
      </c>
      <c r="E7" s="504">
        <v>5</v>
      </c>
      <c r="F7" s="505">
        <v>320836</v>
      </c>
      <c r="G7" s="504">
        <v>0</v>
      </c>
      <c r="H7" s="505">
        <v>14851</v>
      </c>
      <c r="I7" s="504">
        <v>0</v>
      </c>
      <c r="J7" s="504">
        <v>0</v>
      </c>
      <c r="K7" s="504">
        <v>0</v>
      </c>
      <c r="L7" s="506">
        <v>307.54809999999998</v>
      </c>
      <c r="M7" s="505">
        <v>179.3</v>
      </c>
      <c r="N7" s="507">
        <v>0</v>
      </c>
      <c r="O7" s="508">
        <v>6691</v>
      </c>
      <c r="P7" s="493">
        <f t="shared" si="0"/>
        <v>6691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6691</v>
      </c>
      <c r="W7" s="512">
        <f t="shared" si="10"/>
        <v>236290.45697</v>
      </c>
      <c r="X7" s="497"/>
      <c r="Y7" s="513">
        <f t="shared" si="11"/>
        <v>57.969502955057756</v>
      </c>
      <c r="Z7" s="510">
        <f t="shared" si="12"/>
        <v>242.70671497223577</v>
      </c>
      <c r="AA7" s="511">
        <f t="shared" si="13"/>
        <v>230.0409274260127</v>
      </c>
      <c r="AE7" s="598" t="str">
        <f t="shared" si="3"/>
        <v>320836</v>
      </c>
      <c r="AF7" s="502">
        <v>320</v>
      </c>
      <c r="AG7" s="606">
        <v>5</v>
      </c>
      <c r="AH7" s="607">
        <v>316886</v>
      </c>
      <c r="AI7" s="608">
        <f t="shared" si="4"/>
        <v>320836</v>
      </c>
      <c r="AJ7" s="609">
        <f t="shared" si="5"/>
        <v>3950</v>
      </c>
      <c r="AL7" s="602">
        <f t="shared" si="6"/>
        <v>4753</v>
      </c>
      <c r="AM7" s="610">
        <f t="shared" si="6"/>
        <v>6691</v>
      </c>
      <c r="AN7" s="611">
        <f t="shared" si="7"/>
        <v>1938</v>
      </c>
      <c r="AO7" s="612">
        <f t="shared" si="8"/>
        <v>0.28964280376625318</v>
      </c>
    </row>
    <row r="8" spans="1:41" x14ac:dyDescent="0.2">
      <c r="A8" s="502">
        <v>320</v>
      </c>
      <c r="B8" s="503">
        <v>0.375</v>
      </c>
      <c r="C8" s="504">
        <v>2013</v>
      </c>
      <c r="D8" s="504">
        <v>3</v>
      </c>
      <c r="E8" s="504">
        <v>6</v>
      </c>
      <c r="F8" s="505">
        <v>327527</v>
      </c>
      <c r="G8" s="504">
        <v>0</v>
      </c>
      <c r="H8" s="505">
        <v>15135</v>
      </c>
      <c r="I8" s="504">
        <v>0</v>
      </c>
      <c r="J8" s="504">
        <v>0</v>
      </c>
      <c r="K8" s="504">
        <v>0</v>
      </c>
      <c r="L8" s="506">
        <v>317.54629999999997</v>
      </c>
      <c r="M8" s="505">
        <v>278.89999999999998</v>
      </c>
      <c r="N8" s="507">
        <v>0</v>
      </c>
      <c r="O8" s="508">
        <v>6180</v>
      </c>
      <c r="P8" s="493">
        <f t="shared" si="0"/>
        <v>6180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6180</v>
      </c>
      <c r="W8" s="512">
        <f t="shared" si="10"/>
        <v>218244.6606</v>
      </c>
      <c r="X8" s="497"/>
      <c r="Y8" s="513">
        <f t="shared" si="11"/>
        <v>53.625408242140658</v>
      </c>
      <c r="Z8" s="510">
        <f t="shared" si="12"/>
        <v>224.51885922819451</v>
      </c>
      <c r="AA8" s="511">
        <f t="shared" si="13"/>
        <v>212.80221524728947</v>
      </c>
      <c r="AE8" s="598" t="str">
        <f t="shared" si="3"/>
        <v>327527</v>
      </c>
      <c r="AF8" s="502">
        <v>320</v>
      </c>
      <c r="AG8" s="606">
        <v>6</v>
      </c>
      <c r="AH8" s="607">
        <v>321639</v>
      </c>
      <c r="AI8" s="608">
        <f t="shared" si="4"/>
        <v>327527</v>
      </c>
      <c r="AJ8" s="609">
        <f t="shared" si="5"/>
        <v>5888</v>
      </c>
      <c r="AL8" s="602">
        <f t="shared" si="6"/>
        <v>6848</v>
      </c>
      <c r="AM8" s="610">
        <f t="shared" si="6"/>
        <v>6180</v>
      </c>
      <c r="AN8" s="611">
        <f t="shared" si="7"/>
        <v>-668</v>
      </c>
      <c r="AO8" s="612">
        <f t="shared" si="8"/>
        <v>-0.1080906148867314</v>
      </c>
    </row>
    <row r="9" spans="1:41" x14ac:dyDescent="0.2">
      <c r="A9" s="502">
        <v>320</v>
      </c>
      <c r="B9" s="503">
        <v>0.375</v>
      </c>
      <c r="C9" s="504">
        <v>2013</v>
      </c>
      <c r="D9" s="504">
        <v>3</v>
      </c>
      <c r="E9" s="504">
        <v>7</v>
      </c>
      <c r="F9" s="505">
        <v>333707</v>
      </c>
      <c r="G9" s="504">
        <v>0</v>
      </c>
      <c r="H9" s="505">
        <v>15396</v>
      </c>
      <c r="I9" s="504">
        <v>0</v>
      </c>
      <c r="J9" s="504">
        <v>0</v>
      </c>
      <c r="K9" s="504">
        <v>0</v>
      </c>
      <c r="L9" s="506">
        <v>320.88889999999998</v>
      </c>
      <c r="M9" s="505">
        <v>257.60000000000002</v>
      </c>
      <c r="N9" s="507">
        <v>0</v>
      </c>
      <c r="O9" s="508">
        <v>5647</v>
      </c>
      <c r="P9" s="493">
        <f t="shared" si="0"/>
        <v>5647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5647</v>
      </c>
      <c r="W9" s="512">
        <f t="shared" si="10"/>
        <v>199421.94149</v>
      </c>
      <c r="X9" s="497"/>
      <c r="Y9" s="513">
        <f t="shared" si="11"/>
        <v>49.039809253255484</v>
      </c>
      <c r="Z9" s="510">
        <f t="shared" si="12"/>
        <v>205.31987338153004</v>
      </c>
      <c r="AA9" s="511">
        <f t="shared" si="13"/>
        <v>194.60513936370378</v>
      </c>
      <c r="AE9" s="598" t="str">
        <f t="shared" si="3"/>
        <v>333707</v>
      </c>
      <c r="AF9" s="502">
        <v>320</v>
      </c>
      <c r="AG9" s="606">
        <v>7</v>
      </c>
      <c r="AH9" s="607">
        <v>328487</v>
      </c>
      <c r="AI9" s="608">
        <f t="shared" si="4"/>
        <v>333707</v>
      </c>
      <c r="AJ9" s="609">
        <f t="shared" si="5"/>
        <v>5220</v>
      </c>
      <c r="AL9" s="602">
        <f t="shared" si="6"/>
        <v>6076</v>
      </c>
      <c r="AM9" s="610">
        <f t="shared" si="6"/>
        <v>5647</v>
      </c>
      <c r="AN9" s="611">
        <f t="shared" si="7"/>
        <v>-429</v>
      </c>
      <c r="AO9" s="612">
        <f t="shared" si="8"/>
        <v>-7.5969541349389061E-2</v>
      </c>
    </row>
    <row r="10" spans="1:41" x14ac:dyDescent="0.2">
      <c r="A10" s="502">
        <v>320</v>
      </c>
      <c r="B10" s="503">
        <v>0.375</v>
      </c>
      <c r="C10" s="504">
        <v>2013</v>
      </c>
      <c r="D10" s="504">
        <v>3</v>
      </c>
      <c r="E10" s="504">
        <v>8</v>
      </c>
      <c r="F10" s="505">
        <v>339354</v>
      </c>
      <c r="G10" s="504">
        <v>0</v>
      </c>
      <c r="H10" s="505">
        <v>15635</v>
      </c>
      <c r="I10" s="504">
        <v>0</v>
      </c>
      <c r="J10" s="504">
        <v>0</v>
      </c>
      <c r="K10" s="504">
        <v>0</v>
      </c>
      <c r="L10" s="506">
        <v>319.84949999999998</v>
      </c>
      <c r="M10" s="505">
        <v>235.6</v>
      </c>
      <c r="N10" s="507">
        <v>0</v>
      </c>
      <c r="O10" s="508">
        <v>4631</v>
      </c>
      <c r="P10" s="493">
        <f t="shared" si="0"/>
        <v>4631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4631</v>
      </c>
      <c r="W10" s="512">
        <f t="shared" si="10"/>
        <v>163542.23676999999</v>
      </c>
      <c r="X10" s="497"/>
      <c r="Y10" s="513">
        <f t="shared" si="11"/>
        <v>40.198967774340915</v>
      </c>
      <c r="Z10" s="510">
        <f t="shared" si="12"/>
        <v>168.30503827761055</v>
      </c>
      <c r="AA10" s="511">
        <f t="shared" si="13"/>
        <v>159.52194441872402</v>
      </c>
      <c r="AE10" s="598" t="str">
        <f t="shared" si="3"/>
        <v>339354</v>
      </c>
      <c r="AF10" s="502">
        <v>320</v>
      </c>
      <c r="AG10" s="606">
        <v>8</v>
      </c>
      <c r="AH10" s="607">
        <v>334563</v>
      </c>
      <c r="AI10" s="608">
        <f t="shared" si="4"/>
        <v>339354</v>
      </c>
      <c r="AJ10" s="609">
        <f t="shared" si="5"/>
        <v>4791</v>
      </c>
      <c r="AL10" s="602">
        <f t="shared" si="6"/>
        <v>5368</v>
      </c>
      <c r="AM10" s="610">
        <f t="shared" si="6"/>
        <v>4631</v>
      </c>
      <c r="AN10" s="611">
        <f t="shared" si="7"/>
        <v>-737</v>
      </c>
      <c r="AO10" s="612">
        <f t="shared" si="8"/>
        <v>-0.15914489311163896</v>
      </c>
    </row>
    <row r="11" spans="1:41" x14ac:dyDescent="0.2">
      <c r="A11" s="502">
        <v>320</v>
      </c>
      <c r="B11" s="503">
        <v>0.375</v>
      </c>
      <c r="C11" s="504">
        <v>2013</v>
      </c>
      <c r="D11" s="504">
        <v>3</v>
      </c>
      <c r="E11" s="504">
        <v>9</v>
      </c>
      <c r="F11" s="505">
        <v>343985</v>
      </c>
      <c r="G11" s="504">
        <v>0</v>
      </c>
      <c r="H11" s="505">
        <v>15831</v>
      </c>
      <c r="I11" s="504">
        <v>0</v>
      </c>
      <c r="J11" s="504">
        <v>0</v>
      </c>
      <c r="K11" s="504">
        <v>0</v>
      </c>
      <c r="L11" s="506">
        <v>319.91120000000001</v>
      </c>
      <c r="M11" s="505">
        <v>193.6</v>
      </c>
      <c r="N11" s="507">
        <v>0</v>
      </c>
      <c r="O11" s="508">
        <v>363</v>
      </c>
      <c r="P11" s="493">
        <f t="shared" si="0"/>
        <v>363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363</v>
      </c>
      <c r="W11" s="515">
        <f t="shared" si="10"/>
        <v>12819.225210000001</v>
      </c>
      <c r="Y11" s="513">
        <f t="shared" si="11"/>
        <v>3.1532349970656055</v>
      </c>
      <c r="Z11" s="510">
        <f t="shared" si="12"/>
        <v>13.201964285714277</v>
      </c>
      <c r="AA11" s="511">
        <f t="shared" si="13"/>
        <v>12.513012293369071</v>
      </c>
      <c r="AE11" s="598" t="str">
        <f t="shared" si="3"/>
        <v>343985</v>
      </c>
      <c r="AF11" s="502">
        <v>320</v>
      </c>
      <c r="AG11" s="606">
        <v>9</v>
      </c>
      <c r="AH11" s="607">
        <v>339931</v>
      </c>
      <c r="AI11" s="608">
        <f t="shared" si="4"/>
        <v>343985</v>
      </c>
      <c r="AJ11" s="609">
        <f t="shared" si="5"/>
        <v>4054</v>
      </c>
      <c r="AL11" s="602">
        <f t="shared" si="6"/>
        <v>4407</v>
      </c>
      <c r="AM11" s="610">
        <f t="shared" si="6"/>
        <v>363</v>
      </c>
      <c r="AN11" s="611">
        <f t="shared" si="7"/>
        <v>-4044</v>
      </c>
      <c r="AO11" s="612">
        <f t="shared" si="8"/>
        <v>-11.140495867768594</v>
      </c>
    </row>
    <row r="12" spans="1:41" x14ac:dyDescent="0.2">
      <c r="A12" s="502">
        <v>320</v>
      </c>
      <c r="B12" s="503">
        <v>0.375</v>
      </c>
      <c r="C12" s="504">
        <v>2013</v>
      </c>
      <c r="D12" s="504">
        <v>3</v>
      </c>
      <c r="E12" s="504">
        <v>10</v>
      </c>
      <c r="F12" s="505">
        <v>344348</v>
      </c>
      <c r="G12" s="504">
        <v>0</v>
      </c>
      <c r="H12" s="505">
        <v>15846</v>
      </c>
      <c r="I12" s="504">
        <v>0</v>
      </c>
      <c r="J12" s="504">
        <v>0</v>
      </c>
      <c r="K12" s="504">
        <v>0</v>
      </c>
      <c r="L12" s="506">
        <v>326.53809999999999</v>
      </c>
      <c r="M12" s="505">
        <v>15.6</v>
      </c>
      <c r="N12" s="507">
        <v>0</v>
      </c>
      <c r="O12" s="508">
        <v>160</v>
      </c>
      <c r="P12" s="493">
        <f t="shared" si="0"/>
        <v>160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160</v>
      </c>
      <c r="W12" s="515">
        <f t="shared" si="10"/>
        <v>5650.3472000000002</v>
      </c>
      <c r="Y12" s="513">
        <f t="shared" si="11"/>
        <v>1.3918231421098843</v>
      </c>
      <c r="Z12" s="510">
        <f t="shared" si="12"/>
        <v>5.827285131385664</v>
      </c>
      <c r="AA12" s="511">
        <f t="shared" si="13"/>
        <v>5.5231849524769823</v>
      </c>
      <c r="AE12" s="598" t="str">
        <f t="shared" si="3"/>
        <v>344348</v>
      </c>
      <c r="AF12" s="502">
        <v>320</v>
      </c>
      <c r="AG12" s="606">
        <v>10</v>
      </c>
      <c r="AH12" s="607">
        <v>344338</v>
      </c>
      <c r="AI12" s="608">
        <f t="shared" si="4"/>
        <v>344348</v>
      </c>
      <c r="AJ12" s="609">
        <f t="shared" si="5"/>
        <v>10</v>
      </c>
      <c r="AL12" s="602">
        <f t="shared" si="6"/>
        <v>9</v>
      </c>
      <c r="AM12" s="610">
        <f t="shared" si="6"/>
        <v>160</v>
      </c>
      <c r="AN12" s="611">
        <f t="shared" si="7"/>
        <v>151</v>
      </c>
      <c r="AO12" s="612">
        <f t="shared" si="8"/>
        <v>0.94374999999999998</v>
      </c>
    </row>
    <row r="13" spans="1:41" x14ac:dyDescent="0.2">
      <c r="A13" s="502">
        <v>320</v>
      </c>
      <c r="B13" s="503">
        <v>0.375</v>
      </c>
      <c r="C13" s="504">
        <v>2013</v>
      </c>
      <c r="D13" s="504">
        <v>3</v>
      </c>
      <c r="E13" s="504">
        <v>11</v>
      </c>
      <c r="F13" s="505">
        <v>344508</v>
      </c>
      <c r="G13" s="504">
        <v>0</v>
      </c>
      <c r="H13" s="505">
        <v>15853</v>
      </c>
      <c r="I13" s="504">
        <v>0</v>
      </c>
      <c r="J13" s="504">
        <v>0</v>
      </c>
      <c r="K13" s="504">
        <v>0</v>
      </c>
      <c r="L13" s="506">
        <v>325.77850000000001</v>
      </c>
      <c r="M13" s="505">
        <v>6.5</v>
      </c>
      <c r="N13" s="507">
        <v>0</v>
      </c>
      <c r="O13" s="508">
        <v>5493</v>
      </c>
      <c r="P13" s="493">
        <f t="shared" si="0"/>
        <v>5493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5493</v>
      </c>
      <c r="W13" s="515">
        <f t="shared" si="10"/>
        <v>193983.48230999999</v>
      </c>
      <c r="Y13" s="513">
        <f t="shared" si="11"/>
        <v>47.700274915171093</v>
      </c>
      <c r="Z13" s="510">
        <f t="shared" si="12"/>
        <v>199.71151101483829</v>
      </c>
      <c r="AA13" s="511">
        <f t="shared" si="13"/>
        <v>189.28945256730631</v>
      </c>
      <c r="AE13" s="598" t="str">
        <f t="shared" si="3"/>
        <v>344508</v>
      </c>
      <c r="AF13" s="502">
        <v>320</v>
      </c>
      <c r="AG13" s="606">
        <v>11</v>
      </c>
      <c r="AH13" s="607">
        <v>344347</v>
      </c>
      <c r="AI13" s="608">
        <f t="shared" si="4"/>
        <v>344508</v>
      </c>
      <c r="AJ13" s="609">
        <f t="shared" si="5"/>
        <v>161</v>
      </c>
      <c r="AL13" s="602">
        <f t="shared" si="6"/>
        <v>296</v>
      </c>
      <c r="AM13" s="610">
        <f t="shared" si="6"/>
        <v>5493</v>
      </c>
      <c r="AN13" s="611">
        <f t="shared" si="7"/>
        <v>5197</v>
      </c>
      <c r="AO13" s="612">
        <f t="shared" si="8"/>
        <v>0.94611323502639721</v>
      </c>
    </row>
    <row r="14" spans="1:41" x14ac:dyDescent="0.2">
      <c r="A14" s="502">
        <v>320</v>
      </c>
      <c r="B14" s="503">
        <v>0.375</v>
      </c>
      <c r="C14" s="504">
        <v>2013</v>
      </c>
      <c r="D14" s="504">
        <v>3</v>
      </c>
      <c r="E14" s="504">
        <v>12</v>
      </c>
      <c r="F14" s="505">
        <v>350001</v>
      </c>
      <c r="G14" s="504">
        <v>0</v>
      </c>
      <c r="H14" s="505">
        <v>16085</v>
      </c>
      <c r="I14" s="504">
        <v>0</v>
      </c>
      <c r="J14" s="504">
        <v>0</v>
      </c>
      <c r="K14" s="504">
        <v>0</v>
      </c>
      <c r="L14" s="506">
        <v>319.76229999999998</v>
      </c>
      <c r="M14" s="505">
        <v>229.6</v>
      </c>
      <c r="N14" s="507">
        <v>0</v>
      </c>
      <c r="O14" s="508">
        <v>6758</v>
      </c>
      <c r="P14" s="493">
        <f t="shared" si="0"/>
        <v>6758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6758</v>
      </c>
      <c r="W14" s="515">
        <f t="shared" si="10"/>
        <v>238656.53985999999</v>
      </c>
      <c r="Y14" s="513">
        <f t="shared" si="11"/>
        <v>58.710543029492207</v>
      </c>
      <c r="Z14" s="510">
        <f t="shared" si="12"/>
        <v>245.80930155587799</v>
      </c>
      <c r="AA14" s="511">
        <f t="shared" si="13"/>
        <v>232.98160376948428</v>
      </c>
      <c r="AE14" s="598" t="str">
        <f t="shared" si="3"/>
        <v>350001</v>
      </c>
      <c r="AF14" s="502">
        <v>320</v>
      </c>
      <c r="AG14" s="606">
        <v>12</v>
      </c>
      <c r="AH14" s="607">
        <v>344643</v>
      </c>
      <c r="AI14" s="608">
        <f t="shared" si="4"/>
        <v>350001</v>
      </c>
      <c r="AJ14" s="609">
        <f t="shared" si="5"/>
        <v>5358</v>
      </c>
      <c r="AL14" s="602">
        <f t="shared" si="6"/>
        <v>6287</v>
      </c>
      <c r="AM14" s="610">
        <f t="shared" si="6"/>
        <v>6758</v>
      </c>
      <c r="AN14" s="611">
        <f t="shared" si="7"/>
        <v>471</v>
      </c>
      <c r="AO14" s="612">
        <f t="shared" si="8"/>
        <v>6.9695176087599883E-2</v>
      </c>
    </row>
    <row r="15" spans="1:41" x14ac:dyDescent="0.2">
      <c r="A15" s="502">
        <v>320</v>
      </c>
      <c r="B15" s="503">
        <v>0.375</v>
      </c>
      <c r="C15" s="504">
        <v>2013</v>
      </c>
      <c r="D15" s="504">
        <v>3</v>
      </c>
      <c r="E15" s="504">
        <v>13</v>
      </c>
      <c r="F15" s="505">
        <v>356759</v>
      </c>
      <c r="G15" s="504">
        <v>0</v>
      </c>
      <c r="H15" s="505">
        <v>16374</v>
      </c>
      <c r="I15" s="504">
        <v>0</v>
      </c>
      <c r="J15" s="504">
        <v>0</v>
      </c>
      <c r="K15" s="504">
        <v>0</v>
      </c>
      <c r="L15" s="506">
        <v>317.00689999999997</v>
      </c>
      <c r="M15" s="505">
        <v>281.7</v>
      </c>
      <c r="N15" s="507">
        <v>0</v>
      </c>
      <c r="O15" s="508">
        <v>6333</v>
      </c>
      <c r="P15" s="493">
        <f t="shared" si="0"/>
        <v>6333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6333</v>
      </c>
      <c r="W15" s="515">
        <f t="shared" si="10"/>
        <v>223647.80510999999</v>
      </c>
      <c r="Y15" s="513">
        <f t="shared" si="11"/>
        <v>54.887717598296632</v>
      </c>
      <c r="Z15" s="510">
        <f t="shared" si="12"/>
        <v>229.80389604054838</v>
      </c>
      <c r="AA15" s="511">
        <f t="shared" si="13"/>
        <v>217.81144941674197</v>
      </c>
      <c r="AE15" s="598" t="str">
        <f t="shared" si="3"/>
        <v>356759</v>
      </c>
      <c r="AF15" s="502">
        <v>320</v>
      </c>
      <c r="AG15" s="606">
        <v>13</v>
      </c>
      <c r="AH15" s="607">
        <v>350930</v>
      </c>
      <c r="AI15" s="608">
        <f t="shared" si="4"/>
        <v>356759</v>
      </c>
      <c r="AJ15" s="609">
        <f t="shared" si="5"/>
        <v>5829</v>
      </c>
      <c r="AL15" s="602">
        <f t="shared" si="6"/>
        <v>6614</v>
      </c>
      <c r="AM15" s="610">
        <f t="shared" si="6"/>
        <v>6333</v>
      </c>
      <c r="AN15" s="611">
        <f t="shared" si="7"/>
        <v>-281</v>
      </c>
      <c r="AO15" s="612">
        <f t="shared" si="8"/>
        <v>-4.437075635559766E-2</v>
      </c>
    </row>
    <row r="16" spans="1:41" x14ac:dyDescent="0.2">
      <c r="A16" s="502">
        <v>320</v>
      </c>
      <c r="B16" s="503">
        <v>0.375</v>
      </c>
      <c r="C16" s="504">
        <v>2013</v>
      </c>
      <c r="D16" s="504">
        <v>3</v>
      </c>
      <c r="E16" s="504">
        <v>14</v>
      </c>
      <c r="F16" s="505">
        <v>363092</v>
      </c>
      <c r="G16" s="504">
        <v>0</v>
      </c>
      <c r="H16" s="505">
        <v>16645</v>
      </c>
      <c r="I16" s="504">
        <v>0</v>
      </c>
      <c r="J16" s="504">
        <v>0</v>
      </c>
      <c r="K16" s="504">
        <v>0</v>
      </c>
      <c r="L16" s="506">
        <v>315.70949999999999</v>
      </c>
      <c r="M16" s="505">
        <v>264</v>
      </c>
      <c r="N16" s="507">
        <v>0</v>
      </c>
      <c r="O16" s="508">
        <v>6795</v>
      </c>
      <c r="P16" s="493">
        <f t="shared" si="0"/>
        <v>6795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6795</v>
      </c>
      <c r="W16" s="515">
        <f t="shared" si="10"/>
        <v>239963.18265</v>
      </c>
      <c r="Y16" s="513">
        <f t="shared" si="11"/>
        <v>58.739341655349136</v>
      </c>
      <c r="Z16" s="510">
        <f t="shared" si="12"/>
        <v>245.92987564261574</v>
      </c>
      <c r="AA16" s="511">
        <f t="shared" si="13"/>
        <v>233.09588562913481</v>
      </c>
      <c r="AE16" s="598" t="str">
        <f t="shared" si="3"/>
        <v>363092</v>
      </c>
      <c r="AF16" s="502">
        <v>320</v>
      </c>
      <c r="AG16" s="606">
        <v>14</v>
      </c>
      <c r="AH16" s="607">
        <v>357544</v>
      </c>
      <c r="AI16" s="608">
        <f t="shared" si="4"/>
        <v>363092</v>
      </c>
      <c r="AJ16" s="609">
        <f t="shared" si="5"/>
        <v>5548</v>
      </c>
      <c r="AL16" s="602">
        <f t="shared" si="6"/>
        <v>6580</v>
      </c>
      <c r="AM16" s="610">
        <f t="shared" si="6"/>
        <v>6795</v>
      </c>
      <c r="AN16" s="611">
        <f t="shared" si="7"/>
        <v>215</v>
      </c>
      <c r="AO16" s="612">
        <f t="shared" si="8"/>
        <v>3.164091243561442E-2</v>
      </c>
    </row>
    <row r="17" spans="1:41" x14ac:dyDescent="0.2">
      <c r="A17" s="502">
        <v>320</v>
      </c>
      <c r="B17" s="503">
        <v>0.375</v>
      </c>
      <c r="C17" s="504">
        <v>2013</v>
      </c>
      <c r="D17" s="504">
        <v>3</v>
      </c>
      <c r="E17" s="504">
        <v>15</v>
      </c>
      <c r="F17" s="505">
        <v>369887</v>
      </c>
      <c r="G17" s="504">
        <v>0</v>
      </c>
      <c r="H17" s="505">
        <v>16934</v>
      </c>
      <c r="I17" s="504">
        <v>0</v>
      </c>
      <c r="J17" s="504">
        <v>0</v>
      </c>
      <c r="K17" s="504">
        <v>0</v>
      </c>
      <c r="L17" s="506">
        <v>316.89830000000001</v>
      </c>
      <c r="M17" s="505">
        <v>283.2</v>
      </c>
      <c r="N17" s="507">
        <v>0</v>
      </c>
      <c r="O17" s="508">
        <v>6300</v>
      </c>
      <c r="P17" s="493">
        <f t="shared" si="0"/>
        <v>6300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6300</v>
      </c>
      <c r="W17" s="515">
        <f t="shared" si="10"/>
        <v>222482.421</v>
      </c>
      <c r="Y17" s="513">
        <f t="shared" si="11"/>
        <v>55.143165470144645</v>
      </c>
      <c r="Z17" s="510">
        <f t="shared" si="12"/>
        <v>230.87340519040157</v>
      </c>
      <c r="AA17" s="511">
        <f t="shared" si="13"/>
        <v>218.82514562515135</v>
      </c>
      <c r="AE17" s="598" t="str">
        <f t="shared" si="3"/>
        <v>369887</v>
      </c>
      <c r="AF17" s="502">
        <v>320</v>
      </c>
      <c r="AG17" s="606">
        <v>15</v>
      </c>
      <c r="AH17" s="607">
        <v>364124</v>
      </c>
      <c r="AI17" s="608">
        <f t="shared" si="4"/>
        <v>369887</v>
      </c>
      <c r="AJ17" s="609">
        <f t="shared" si="5"/>
        <v>5763</v>
      </c>
      <c r="AL17" s="602">
        <f t="shared" si="6"/>
        <v>6651</v>
      </c>
      <c r="AM17" s="610">
        <f t="shared" si="6"/>
        <v>6300</v>
      </c>
      <c r="AN17" s="611">
        <f t="shared" si="7"/>
        <v>-351</v>
      </c>
      <c r="AO17" s="612">
        <f t="shared" si="8"/>
        <v>-5.5714285714285716E-2</v>
      </c>
    </row>
    <row r="18" spans="1:41" x14ac:dyDescent="0.2">
      <c r="A18" s="502">
        <v>320</v>
      </c>
      <c r="B18" s="503">
        <v>0.375</v>
      </c>
      <c r="C18" s="504">
        <v>2013</v>
      </c>
      <c r="D18" s="504">
        <v>3</v>
      </c>
      <c r="E18" s="504">
        <v>16</v>
      </c>
      <c r="F18" s="505">
        <v>376187</v>
      </c>
      <c r="G18" s="504">
        <v>0</v>
      </c>
      <c r="H18" s="505">
        <v>17202</v>
      </c>
      <c r="I18" s="504">
        <v>0</v>
      </c>
      <c r="J18" s="504">
        <v>0</v>
      </c>
      <c r="K18" s="504">
        <v>0</v>
      </c>
      <c r="L18" s="506">
        <v>316.24549999999999</v>
      </c>
      <c r="M18" s="505">
        <v>263.10000000000002</v>
      </c>
      <c r="N18" s="507">
        <v>0</v>
      </c>
      <c r="O18" s="508">
        <v>372</v>
      </c>
      <c r="P18" s="493">
        <f t="shared" si="0"/>
        <v>372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372</v>
      </c>
      <c r="W18" s="515">
        <f t="shared" si="10"/>
        <v>13137.05724</v>
      </c>
      <c r="Y18" s="513">
        <f t="shared" si="11"/>
        <v>3.2560726277609215</v>
      </c>
      <c r="Z18" s="510">
        <f t="shared" si="12"/>
        <v>13.632524877909427</v>
      </c>
      <c r="AA18" s="511">
        <f t="shared" si="13"/>
        <v>12.921103836913698</v>
      </c>
      <c r="AE18" s="598" t="str">
        <f t="shared" si="3"/>
        <v>376187</v>
      </c>
      <c r="AF18" s="502">
        <v>320</v>
      </c>
      <c r="AG18" s="606">
        <v>16</v>
      </c>
      <c r="AH18" s="607">
        <v>370775</v>
      </c>
      <c r="AI18" s="608">
        <f t="shared" si="4"/>
        <v>376187</v>
      </c>
      <c r="AJ18" s="609">
        <f t="shared" si="5"/>
        <v>5412</v>
      </c>
      <c r="AL18" s="602">
        <f t="shared" si="6"/>
        <v>5621</v>
      </c>
      <c r="AM18" s="610">
        <f t="shared" si="6"/>
        <v>372</v>
      </c>
      <c r="AN18" s="611">
        <f t="shared" si="7"/>
        <v>-5249</v>
      </c>
      <c r="AO18" s="612">
        <f t="shared" si="8"/>
        <v>-14.11021505376344</v>
      </c>
    </row>
    <row r="19" spans="1:41" x14ac:dyDescent="0.2">
      <c r="A19" s="502">
        <v>320</v>
      </c>
      <c r="B19" s="503">
        <v>0.375</v>
      </c>
      <c r="C19" s="504">
        <v>2013</v>
      </c>
      <c r="D19" s="504">
        <v>3</v>
      </c>
      <c r="E19" s="504">
        <v>17</v>
      </c>
      <c r="F19" s="505">
        <v>376559</v>
      </c>
      <c r="G19" s="504">
        <v>0</v>
      </c>
      <c r="H19" s="505">
        <v>17217</v>
      </c>
      <c r="I19" s="504">
        <v>0</v>
      </c>
      <c r="J19" s="504">
        <v>0</v>
      </c>
      <c r="K19" s="504">
        <v>0</v>
      </c>
      <c r="L19" s="506">
        <v>326.1431</v>
      </c>
      <c r="M19" s="505">
        <v>16.100000000000001</v>
      </c>
      <c r="N19" s="507">
        <v>0</v>
      </c>
      <c r="O19" s="508">
        <v>2</v>
      </c>
      <c r="P19" s="493">
        <f t="shared" si="0"/>
        <v>2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2</v>
      </c>
      <c r="W19" s="515">
        <f t="shared" si="10"/>
        <v>70.629339999999999</v>
      </c>
      <c r="Y19" s="513">
        <f t="shared" si="11"/>
        <v>1.7505766815918936E-2</v>
      </c>
      <c r="Z19" s="510">
        <f t="shared" si="12"/>
        <v>7.3293144504889399E-2</v>
      </c>
      <c r="AA19" s="511">
        <f t="shared" si="13"/>
        <v>6.9468300198460745E-2</v>
      </c>
      <c r="AE19" s="598" t="str">
        <f t="shared" si="3"/>
        <v>376559</v>
      </c>
      <c r="AF19" s="502">
        <v>320</v>
      </c>
      <c r="AG19" s="606">
        <v>17</v>
      </c>
      <c r="AH19" s="607">
        <v>376396</v>
      </c>
      <c r="AI19" s="608">
        <f t="shared" si="4"/>
        <v>376559</v>
      </c>
      <c r="AJ19" s="609">
        <f t="shared" si="5"/>
        <v>163</v>
      </c>
      <c r="AL19" s="602">
        <f t="shared" si="6"/>
        <v>162</v>
      </c>
      <c r="AM19" s="610">
        <f t="shared" si="6"/>
        <v>2</v>
      </c>
      <c r="AN19" s="611">
        <f t="shared" si="7"/>
        <v>-160</v>
      </c>
      <c r="AO19" s="612">
        <f t="shared" si="8"/>
        <v>-80</v>
      </c>
    </row>
    <row r="20" spans="1:41" x14ac:dyDescent="0.2">
      <c r="A20" s="502">
        <v>320</v>
      </c>
      <c r="B20" s="503">
        <v>0.375</v>
      </c>
      <c r="C20" s="504">
        <v>2013</v>
      </c>
      <c r="D20" s="504">
        <v>3</v>
      </c>
      <c r="E20" s="504">
        <v>18</v>
      </c>
      <c r="F20" s="505">
        <v>376561</v>
      </c>
      <c r="G20" s="504">
        <v>0</v>
      </c>
      <c r="H20" s="505">
        <v>17217</v>
      </c>
      <c r="I20" s="504">
        <v>0</v>
      </c>
      <c r="J20" s="504">
        <v>0</v>
      </c>
      <c r="K20" s="504">
        <v>0</v>
      </c>
      <c r="L20" s="506">
        <v>327.35969999999998</v>
      </c>
      <c r="M20" s="505">
        <v>0</v>
      </c>
      <c r="N20" s="507">
        <v>0</v>
      </c>
      <c r="O20" s="508">
        <v>270</v>
      </c>
      <c r="P20" s="493">
        <f t="shared" si="0"/>
        <v>270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270</v>
      </c>
      <c r="W20" s="515">
        <f t="shared" si="10"/>
        <v>9534.9609</v>
      </c>
      <c r="Y20" s="513">
        <f t="shared" si="11"/>
        <v>2.3632785201490565</v>
      </c>
      <c r="Z20" s="510">
        <f t="shared" si="12"/>
        <v>9.8945745081600673</v>
      </c>
      <c r="AA20" s="511">
        <f t="shared" si="13"/>
        <v>9.3782205267921999</v>
      </c>
      <c r="AE20" s="598" t="str">
        <f t="shared" si="3"/>
        <v>376561</v>
      </c>
      <c r="AF20" s="502">
        <v>320</v>
      </c>
      <c r="AG20" s="606">
        <v>18</v>
      </c>
      <c r="AH20" s="607">
        <v>376558</v>
      </c>
      <c r="AI20" s="608">
        <f t="shared" si="4"/>
        <v>376561</v>
      </c>
      <c r="AJ20" s="609">
        <f t="shared" si="5"/>
        <v>3</v>
      </c>
      <c r="AL20" s="602">
        <f t="shared" si="6"/>
        <v>7</v>
      </c>
      <c r="AM20" s="610">
        <f t="shared" si="6"/>
        <v>270</v>
      </c>
      <c r="AN20" s="611">
        <f t="shared" si="7"/>
        <v>263</v>
      </c>
      <c r="AO20" s="612">
        <f t="shared" si="8"/>
        <v>0.97407407407407409</v>
      </c>
    </row>
    <row r="21" spans="1:41" x14ac:dyDescent="0.2">
      <c r="A21" s="502">
        <v>320</v>
      </c>
      <c r="B21" s="503">
        <v>0.375</v>
      </c>
      <c r="C21" s="504">
        <v>2013</v>
      </c>
      <c r="D21" s="504">
        <v>3</v>
      </c>
      <c r="E21" s="504">
        <v>19</v>
      </c>
      <c r="F21" s="505">
        <v>376831</v>
      </c>
      <c r="G21" s="504">
        <v>0</v>
      </c>
      <c r="H21" s="505">
        <v>17228</v>
      </c>
      <c r="I21" s="504">
        <v>0</v>
      </c>
      <c r="J21" s="504">
        <v>0</v>
      </c>
      <c r="K21" s="504">
        <v>0</v>
      </c>
      <c r="L21" s="506">
        <v>326.18920000000003</v>
      </c>
      <c r="M21" s="505">
        <v>11.3</v>
      </c>
      <c r="N21" s="507">
        <v>0</v>
      </c>
      <c r="O21" s="508">
        <v>3801</v>
      </c>
      <c r="P21" s="493">
        <f t="shared" si="0"/>
        <v>3801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3801</v>
      </c>
      <c r="W21" s="515">
        <f t="shared" si="10"/>
        <v>134231.06067000001</v>
      </c>
      <c r="Y21" s="513">
        <f t="shared" si="11"/>
        <v>33.269709833653934</v>
      </c>
      <c r="Z21" s="510">
        <f t="shared" si="12"/>
        <v>139.2936211315423</v>
      </c>
      <c r="AA21" s="511">
        <f t="shared" si="13"/>
        <v>132.02450452717463</v>
      </c>
      <c r="AE21" s="598" t="str">
        <f t="shared" si="3"/>
        <v>376831</v>
      </c>
      <c r="AF21" s="502">
        <v>320</v>
      </c>
      <c r="AG21" s="606">
        <v>19</v>
      </c>
      <c r="AH21" s="607">
        <v>376565</v>
      </c>
      <c r="AI21" s="608">
        <f t="shared" si="4"/>
        <v>376831</v>
      </c>
      <c r="AJ21" s="609">
        <f t="shared" si="5"/>
        <v>266</v>
      </c>
      <c r="AL21" s="602">
        <f t="shared" si="6"/>
        <v>430</v>
      </c>
      <c r="AM21" s="610">
        <f t="shared" si="6"/>
        <v>3801</v>
      </c>
      <c r="AN21" s="611">
        <f t="shared" si="7"/>
        <v>3371</v>
      </c>
      <c r="AO21" s="612">
        <f t="shared" si="8"/>
        <v>0.8868718758221521</v>
      </c>
    </row>
    <row r="22" spans="1:41" x14ac:dyDescent="0.2">
      <c r="A22" s="502">
        <v>320</v>
      </c>
      <c r="B22" s="503">
        <v>0.375</v>
      </c>
      <c r="C22" s="504">
        <v>2013</v>
      </c>
      <c r="D22" s="504">
        <v>3</v>
      </c>
      <c r="E22" s="504">
        <v>20</v>
      </c>
      <c r="F22" s="505">
        <v>380632</v>
      </c>
      <c r="G22" s="504">
        <v>0</v>
      </c>
      <c r="H22" s="505">
        <v>17390</v>
      </c>
      <c r="I22" s="504">
        <v>0</v>
      </c>
      <c r="J22" s="504">
        <v>0</v>
      </c>
      <c r="K22" s="504">
        <v>0</v>
      </c>
      <c r="L22" s="506">
        <v>318.46480000000003</v>
      </c>
      <c r="M22" s="505">
        <v>159.6</v>
      </c>
      <c r="N22" s="507">
        <v>0</v>
      </c>
      <c r="O22" s="508">
        <v>5548</v>
      </c>
      <c r="P22" s="493">
        <f t="shared" si="0"/>
        <v>5548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5548</v>
      </c>
      <c r="W22" s="515">
        <f t="shared" si="10"/>
        <v>195925.78915999999</v>
      </c>
      <c r="Y22" s="513">
        <f t="shared" si="11"/>
        <v>48.560997147359124</v>
      </c>
      <c r="Z22" s="510">
        <f t="shared" si="12"/>
        <v>203.31518285656318</v>
      </c>
      <c r="AA22" s="511">
        <f t="shared" si="13"/>
        <v>192.70506475053006</v>
      </c>
      <c r="AE22" s="598" t="str">
        <f t="shared" si="3"/>
        <v>380632</v>
      </c>
      <c r="AF22" s="502">
        <v>320</v>
      </c>
      <c r="AG22" s="606">
        <v>20</v>
      </c>
      <c r="AH22" s="607">
        <v>376995</v>
      </c>
      <c r="AI22" s="608">
        <f t="shared" si="4"/>
        <v>380632</v>
      </c>
      <c r="AJ22" s="609">
        <f t="shared" si="5"/>
        <v>3637</v>
      </c>
      <c r="AL22" s="602">
        <f t="shared" si="6"/>
        <v>4328</v>
      </c>
      <c r="AM22" s="610">
        <f t="shared" si="6"/>
        <v>5548</v>
      </c>
      <c r="AN22" s="611">
        <f t="shared" si="7"/>
        <v>1220</v>
      </c>
      <c r="AO22" s="612">
        <f t="shared" si="8"/>
        <v>0.2198990627253064</v>
      </c>
    </row>
    <row r="23" spans="1:41" x14ac:dyDescent="0.2">
      <c r="A23" s="502">
        <v>320</v>
      </c>
      <c r="B23" s="503">
        <v>0.375</v>
      </c>
      <c r="C23" s="504">
        <v>2013</v>
      </c>
      <c r="D23" s="504">
        <v>3</v>
      </c>
      <c r="E23" s="504">
        <v>21</v>
      </c>
      <c r="F23" s="505">
        <v>386180</v>
      </c>
      <c r="G23" s="504">
        <v>0</v>
      </c>
      <c r="H23" s="505">
        <v>17627</v>
      </c>
      <c r="I23" s="504">
        <v>0</v>
      </c>
      <c r="J23" s="504">
        <v>0</v>
      </c>
      <c r="K23" s="504">
        <v>0</v>
      </c>
      <c r="L23" s="506">
        <v>317.65190000000001</v>
      </c>
      <c r="M23" s="505">
        <v>231.9</v>
      </c>
      <c r="N23" s="507">
        <v>0</v>
      </c>
      <c r="O23" s="508">
        <v>5273</v>
      </c>
      <c r="P23" s="493">
        <f t="shared" si="0"/>
        <v>5273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5273</v>
      </c>
      <c r="W23" s="515">
        <f t="shared" si="10"/>
        <v>186214.25490999999</v>
      </c>
      <c r="Y23" s="513">
        <f t="shared" si="11"/>
        <v>46.153954210170269</v>
      </c>
      <c r="Z23" s="510">
        <f t="shared" si="12"/>
        <v>193.23737548714089</v>
      </c>
      <c r="AA23" s="511">
        <f t="shared" si="13"/>
        <v>183.15317347324171</v>
      </c>
      <c r="AE23" s="598" t="str">
        <f t="shared" si="3"/>
        <v>386180</v>
      </c>
      <c r="AF23" s="502">
        <v>320</v>
      </c>
      <c r="AG23" s="606">
        <v>21</v>
      </c>
      <c r="AH23" s="607">
        <v>381323</v>
      </c>
      <c r="AI23" s="608">
        <f t="shared" si="4"/>
        <v>386180</v>
      </c>
      <c r="AJ23" s="609">
        <f t="shared" si="5"/>
        <v>4857</v>
      </c>
      <c r="AL23" s="602">
        <f t="shared" si="6"/>
        <v>5575</v>
      </c>
      <c r="AM23" s="610">
        <f t="shared" si="6"/>
        <v>5273</v>
      </c>
      <c r="AN23" s="611">
        <f t="shared" si="7"/>
        <v>-302</v>
      </c>
      <c r="AO23" s="612">
        <f t="shared" si="8"/>
        <v>-5.7272899677602886E-2</v>
      </c>
    </row>
    <row r="24" spans="1:41" x14ac:dyDescent="0.2">
      <c r="A24" s="502">
        <v>320</v>
      </c>
      <c r="B24" s="503">
        <v>0.375</v>
      </c>
      <c r="C24" s="504">
        <v>2013</v>
      </c>
      <c r="D24" s="504">
        <v>3</v>
      </c>
      <c r="E24" s="504">
        <v>22</v>
      </c>
      <c r="F24" s="505">
        <v>391453</v>
      </c>
      <c r="G24" s="504">
        <v>0</v>
      </c>
      <c r="H24" s="505">
        <v>17853</v>
      </c>
      <c r="I24" s="504">
        <v>0</v>
      </c>
      <c r="J24" s="504">
        <v>0</v>
      </c>
      <c r="K24" s="504">
        <v>0</v>
      </c>
      <c r="L24" s="506">
        <v>316.6234</v>
      </c>
      <c r="M24" s="505">
        <v>220.5</v>
      </c>
      <c r="N24" s="507">
        <v>0</v>
      </c>
      <c r="O24" s="508">
        <v>5699</v>
      </c>
      <c r="P24" s="493">
        <f t="shared" si="0"/>
        <v>5699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5699</v>
      </c>
      <c r="W24" s="515">
        <f t="shared" si="10"/>
        <v>201258.30432999998</v>
      </c>
      <c r="Y24" s="513">
        <f t="shared" si="11"/>
        <v>49.88268254196101</v>
      </c>
      <c r="Z24" s="510">
        <f t="shared" si="12"/>
        <v>208.84881526668232</v>
      </c>
      <c r="AA24" s="511">
        <f t="shared" si="13"/>
        <v>197.94992141551387</v>
      </c>
      <c r="AE24" s="598" t="str">
        <f t="shared" si="3"/>
        <v>391453</v>
      </c>
      <c r="AF24" s="502">
        <v>320</v>
      </c>
      <c r="AG24" s="606">
        <v>22</v>
      </c>
      <c r="AH24" s="607">
        <v>386898</v>
      </c>
      <c r="AI24" s="608">
        <f t="shared" si="4"/>
        <v>391453</v>
      </c>
      <c r="AJ24" s="609">
        <f t="shared" si="5"/>
        <v>4555</v>
      </c>
      <c r="AL24" s="602">
        <f t="shared" si="6"/>
        <v>5186</v>
      </c>
      <c r="AM24" s="610">
        <f t="shared" si="6"/>
        <v>5699</v>
      </c>
      <c r="AN24" s="611">
        <f t="shared" si="7"/>
        <v>513</v>
      </c>
      <c r="AO24" s="612">
        <f t="shared" si="8"/>
        <v>9.0015792244253379E-2</v>
      </c>
    </row>
    <row r="25" spans="1:41" x14ac:dyDescent="0.2">
      <c r="A25" s="502">
        <v>320</v>
      </c>
      <c r="B25" s="503">
        <v>0.375</v>
      </c>
      <c r="C25" s="504">
        <v>2013</v>
      </c>
      <c r="D25" s="504">
        <v>3</v>
      </c>
      <c r="E25" s="504">
        <v>23</v>
      </c>
      <c r="F25" s="505">
        <v>397152</v>
      </c>
      <c r="G25" s="504">
        <v>0</v>
      </c>
      <c r="H25" s="505">
        <v>18097</v>
      </c>
      <c r="I25" s="504">
        <v>0</v>
      </c>
      <c r="J25" s="504">
        <v>0</v>
      </c>
      <c r="K25" s="504">
        <v>0</v>
      </c>
      <c r="L25" s="506">
        <v>317.59879999999998</v>
      </c>
      <c r="M25" s="505">
        <v>237.8</v>
      </c>
      <c r="N25" s="507">
        <v>0</v>
      </c>
      <c r="O25" s="508">
        <v>509</v>
      </c>
      <c r="P25" s="493">
        <f t="shared" si="0"/>
        <v>509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509</v>
      </c>
      <c r="W25" s="515">
        <f t="shared" si="10"/>
        <v>17975.167030000001</v>
      </c>
      <c r="Y25" s="513">
        <f t="shared" si="11"/>
        <v>4.4552176546513689</v>
      </c>
      <c r="Z25" s="510">
        <f t="shared" si="12"/>
        <v>18.653105276494351</v>
      </c>
      <c r="AA25" s="511">
        <f t="shared" si="13"/>
        <v>17.679682400508259</v>
      </c>
      <c r="AE25" s="598" t="str">
        <f t="shared" si="3"/>
        <v>397152</v>
      </c>
      <c r="AF25" s="502">
        <v>320</v>
      </c>
      <c r="AG25" s="606">
        <v>23</v>
      </c>
      <c r="AH25" s="607">
        <v>392084</v>
      </c>
      <c r="AI25" s="608">
        <f t="shared" si="4"/>
        <v>397152</v>
      </c>
      <c r="AJ25" s="609">
        <f t="shared" si="5"/>
        <v>5068</v>
      </c>
      <c r="AL25" s="602">
        <f t="shared" si="6"/>
        <v>5577</v>
      </c>
      <c r="AM25" s="610">
        <f t="shared" si="6"/>
        <v>509</v>
      </c>
      <c r="AN25" s="611">
        <f t="shared" si="7"/>
        <v>-5068</v>
      </c>
      <c r="AO25" s="612">
        <f t="shared" si="8"/>
        <v>-9.956777996070727</v>
      </c>
    </row>
    <row r="26" spans="1:41" x14ac:dyDescent="0.2">
      <c r="A26" s="502">
        <v>320</v>
      </c>
      <c r="B26" s="503">
        <v>0.375</v>
      </c>
      <c r="C26" s="504">
        <v>2013</v>
      </c>
      <c r="D26" s="504">
        <v>3</v>
      </c>
      <c r="E26" s="504">
        <v>24</v>
      </c>
      <c r="F26" s="505">
        <v>397661</v>
      </c>
      <c r="G26" s="504">
        <v>0</v>
      </c>
      <c r="H26" s="505">
        <v>18119</v>
      </c>
      <c r="I26" s="504">
        <v>0</v>
      </c>
      <c r="J26" s="504">
        <v>0</v>
      </c>
      <c r="K26" s="504">
        <v>0</v>
      </c>
      <c r="L26" s="506">
        <v>323.00889999999998</v>
      </c>
      <c r="M26" s="505">
        <v>21.7</v>
      </c>
      <c r="N26" s="507">
        <v>0</v>
      </c>
      <c r="O26" s="508">
        <v>166</v>
      </c>
      <c r="P26" s="493">
        <f t="shared" si="0"/>
        <v>166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166</v>
      </c>
      <c r="W26" s="515">
        <f t="shared" si="10"/>
        <v>5862.2352199999996</v>
      </c>
      <c r="Y26" s="513">
        <f t="shared" si="11"/>
        <v>1.4529786457212717</v>
      </c>
      <c r="Z26" s="510">
        <f t="shared" si="12"/>
        <v>6.08333099390582</v>
      </c>
      <c r="AA26" s="511">
        <f t="shared" si="13"/>
        <v>5.7658689164722414</v>
      </c>
      <c r="AE26" s="598" t="str">
        <f t="shared" si="3"/>
        <v>397661</v>
      </c>
      <c r="AF26" s="502">
        <v>320</v>
      </c>
      <c r="AG26" s="606">
        <v>24</v>
      </c>
      <c r="AH26" s="607">
        <v>397661</v>
      </c>
      <c r="AI26" s="608">
        <f t="shared" si="4"/>
        <v>397661</v>
      </c>
      <c r="AJ26" s="609">
        <f t="shared" si="5"/>
        <v>0</v>
      </c>
      <c r="AL26" s="602">
        <f t="shared" si="6"/>
        <v>0</v>
      </c>
      <c r="AM26" s="610">
        <f t="shared" si="6"/>
        <v>166</v>
      </c>
      <c r="AN26" s="611">
        <f t="shared" si="7"/>
        <v>166</v>
      </c>
      <c r="AO26" s="612">
        <f t="shared" si="8"/>
        <v>1</v>
      </c>
    </row>
    <row r="27" spans="1:41" x14ac:dyDescent="0.2">
      <c r="A27" s="502">
        <v>320</v>
      </c>
      <c r="B27" s="503">
        <v>0.375</v>
      </c>
      <c r="C27" s="504">
        <v>2013</v>
      </c>
      <c r="D27" s="504">
        <v>3</v>
      </c>
      <c r="E27" s="504">
        <v>25</v>
      </c>
      <c r="F27" s="505">
        <v>397827</v>
      </c>
      <c r="G27" s="504">
        <v>0</v>
      </c>
      <c r="H27" s="505">
        <v>18126</v>
      </c>
      <c r="I27" s="504">
        <v>0</v>
      </c>
      <c r="J27" s="504">
        <v>0</v>
      </c>
      <c r="K27" s="504">
        <v>0</v>
      </c>
      <c r="L27" s="506">
        <v>323.66329999999999</v>
      </c>
      <c r="M27" s="505">
        <v>6.8</v>
      </c>
      <c r="N27" s="507">
        <v>0</v>
      </c>
      <c r="O27" s="508">
        <v>6136</v>
      </c>
      <c r="P27" s="493">
        <f t="shared" si="0"/>
        <v>6136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6136</v>
      </c>
      <c r="W27" s="515">
        <f t="shared" si="10"/>
        <v>216690.81511999998</v>
      </c>
      <c r="Y27" s="513">
        <f t="shared" si="11"/>
        <v>53.707692591239287</v>
      </c>
      <c r="Z27" s="510">
        <f t="shared" si="12"/>
        <v>224.86336734100067</v>
      </c>
      <c r="AA27" s="511">
        <f t="shared" si="13"/>
        <v>213.12874500887756</v>
      </c>
      <c r="AE27" s="598" t="str">
        <f t="shared" si="3"/>
        <v>397827</v>
      </c>
      <c r="AF27" s="502">
        <v>320</v>
      </c>
      <c r="AG27" s="606">
        <v>25</v>
      </c>
      <c r="AH27" s="607">
        <v>397661</v>
      </c>
      <c r="AI27" s="608">
        <f t="shared" si="4"/>
        <v>397827</v>
      </c>
      <c r="AJ27" s="609">
        <f t="shared" si="5"/>
        <v>166</v>
      </c>
      <c r="AL27" s="602">
        <f t="shared" si="6"/>
        <v>862</v>
      </c>
      <c r="AM27" s="610">
        <f t="shared" si="6"/>
        <v>6136</v>
      </c>
      <c r="AN27" s="611">
        <f t="shared" si="7"/>
        <v>5274</v>
      </c>
      <c r="AO27" s="612">
        <f t="shared" si="8"/>
        <v>0.85951760104302477</v>
      </c>
    </row>
    <row r="28" spans="1:41" x14ac:dyDescent="0.2">
      <c r="A28" s="502">
        <v>320</v>
      </c>
      <c r="B28" s="503">
        <v>0.375</v>
      </c>
      <c r="C28" s="504">
        <v>2013</v>
      </c>
      <c r="D28" s="504">
        <v>3</v>
      </c>
      <c r="E28" s="504">
        <v>26</v>
      </c>
      <c r="F28" s="505">
        <v>403963</v>
      </c>
      <c r="G28" s="504">
        <v>0</v>
      </c>
      <c r="H28" s="505">
        <v>18389</v>
      </c>
      <c r="I28" s="504">
        <v>0</v>
      </c>
      <c r="J28" s="504">
        <v>0</v>
      </c>
      <c r="K28" s="504">
        <v>0</v>
      </c>
      <c r="L28" s="506">
        <v>316.887</v>
      </c>
      <c r="M28" s="505">
        <v>255.7</v>
      </c>
      <c r="N28" s="507">
        <v>0</v>
      </c>
      <c r="O28" s="508">
        <v>5860</v>
      </c>
      <c r="P28" s="493">
        <f t="shared" si="0"/>
        <v>5860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5860</v>
      </c>
      <c r="W28" s="515">
        <f t="shared" si="10"/>
        <v>206943.9662</v>
      </c>
      <c r="Y28" s="513">
        <f t="shared" si="11"/>
        <v>51.291896770642474</v>
      </c>
      <c r="Z28" s="510">
        <f t="shared" si="12"/>
        <v>214.74891339932594</v>
      </c>
      <c r="AA28" s="511">
        <f t="shared" si="13"/>
        <v>203.54211958148994</v>
      </c>
      <c r="AE28" s="598" t="str">
        <f t="shared" si="3"/>
        <v>403963</v>
      </c>
      <c r="AF28" s="502">
        <v>320</v>
      </c>
      <c r="AG28" s="606">
        <v>26</v>
      </c>
      <c r="AH28" s="607">
        <v>398523</v>
      </c>
      <c r="AI28" s="608">
        <f t="shared" si="4"/>
        <v>403963</v>
      </c>
      <c r="AJ28" s="609">
        <f t="shared" si="5"/>
        <v>5440</v>
      </c>
      <c r="AL28" s="602">
        <f t="shared" si="6"/>
        <v>6407</v>
      </c>
      <c r="AM28" s="610">
        <f t="shared" si="6"/>
        <v>5860</v>
      </c>
      <c r="AN28" s="611">
        <f t="shared" si="7"/>
        <v>-547</v>
      </c>
      <c r="AO28" s="612">
        <f t="shared" si="8"/>
        <v>-9.3344709897610928E-2</v>
      </c>
    </row>
    <row r="29" spans="1:41" x14ac:dyDescent="0.2">
      <c r="A29" s="502">
        <v>320</v>
      </c>
      <c r="B29" s="503">
        <v>0.375</v>
      </c>
      <c r="C29" s="504">
        <v>2013</v>
      </c>
      <c r="D29" s="504">
        <v>3</v>
      </c>
      <c r="E29" s="504">
        <v>27</v>
      </c>
      <c r="F29" s="505">
        <v>409823</v>
      </c>
      <c r="G29" s="504">
        <v>0</v>
      </c>
      <c r="H29" s="505">
        <v>18639</v>
      </c>
      <c r="I29" s="504">
        <v>0</v>
      </c>
      <c r="J29" s="504">
        <v>0</v>
      </c>
      <c r="K29" s="504">
        <v>0</v>
      </c>
      <c r="L29" s="506">
        <v>316.88600000000002</v>
      </c>
      <c r="M29" s="505">
        <v>244.6</v>
      </c>
      <c r="N29" s="507">
        <v>0</v>
      </c>
      <c r="O29" s="508">
        <v>820</v>
      </c>
      <c r="P29" s="493">
        <f t="shared" si="0"/>
        <v>820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820</v>
      </c>
      <c r="W29" s="515">
        <f t="shared" si="10"/>
        <v>28958.029399999999</v>
      </c>
      <c r="Y29" s="513">
        <f t="shared" si="11"/>
        <v>7.1773643945267631</v>
      </c>
      <c r="Z29" s="510">
        <f t="shared" si="12"/>
        <v>30.050189247004649</v>
      </c>
      <c r="AA29" s="511">
        <f t="shared" si="13"/>
        <v>28.482003081368902</v>
      </c>
      <c r="AE29" s="598" t="str">
        <f t="shared" si="3"/>
        <v>409823</v>
      </c>
      <c r="AF29" s="502">
        <v>320</v>
      </c>
      <c r="AG29" s="606">
        <v>27</v>
      </c>
      <c r="AH29" s="607">
        <v>404930</v>
      </c>
      <c r="AI29" s="608">
        <f t="shared" si="4"/>
        <v>409823</v>
      </c>
      <c r="AJ29" s="609">
        <f t="shared" si="5"/>
        <v>4893</v>
      </c>
      <c r="AL29" s="602">
        <f t="shared" si="6"/>
        <v>5596</v>
      </c>
      <c r="AM29" s="610">
        <f t="shared" si="6"/>
        <v>820</v>
      </c>
      <c r="AN29" s="611">
        <f t="shared" si="7"/>
        <v>-4776</v>
      </c>
      <c r="AO29" s="612">
        <f t="shared" si="8"/>
        <v>-5.8243902439024389</v>
      </c>
    </row>
    <row r="30" spans="1:41" x14ac:dyDescent="0.2">
      <c r="A30" s="502">
        <v>320</v>
      </c>
      <c r="B30" s="503">
        <v>0.375</v>
      </c>
      <c r="C30" s="504">
        <v>2013</v>
      </c>
      <c r="D30" s="504">
        <v>3</v>
      </c>
      <c r="E30" s="504">
        <v>28</v>
      </c>
      <c r="F30" s="505">
        <v>410643</v>
      </c>
      <c r="G30" s="504">
        <v>0</v>
      </c>
      <c r="H30" s="505">
        <v>18675</v>
      </c>
      <c r="I30" s="504">
        <v>0</v>
      </c>
      <c r="J30" s="504">
        <v>0</v>
      </c>
      <c r="K30" s="504">
        <v>0</v>
      </c>
      <c r="L30" s="506">
        <v>321.30770000000001</v>
      </c>
      <c r="M30" s="505">
        <v>34.9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410643</v>
      </c>
      <c r="AF30" s="502">
        <v>320</v>
      </c>
      <c r="AG30" s="606">
        <v>28</v>
      </c>
      <c r="AH30" s="607">
        <v>410526</v>
      </c>
      <c r="AI30" s="608">
        <f t="shared" si="4"/>
        <v>410643</v>
      </c>
      <c r="AJ30" s="609">
        <f t="shared" si="5"/>
        <v>117</v>
      </c>
      <c r="AL30" s="602">
        <f t="shared" si="6"/>
        <v>117</v>
      </c>
      <c r="AM30" s="610">
        <f t="shared" si="6"/>
        <v>0</v>
      </c>
      <c r="AN30" s="611">
        <f t="shared" si="7"/>
        <v>-117</v>
      </c>
      <c r="AO30" s="612" t="str">
        <f t="shared" si="8"/>
        <v/>
      </c>
    </row>
    <row r="31" spans="1:41" x14ac:dyDescent="0.2">
      <c r="A31" s="502">
        <v>320</v>
      </c>
      <c r="B31" s="503">
        <v>0.375</v>
      </c>
      <c r="C31" s="504">
        <v>2013</v>
      </c>
      <c r="D31" s="504">
        <v>3</v>
      </c>
      <c r="E31" s="504">
        <v>29</v>
      </c>
      <c r="F31" s="505">
        <v>410643</v>
      </c>
      <c r="G31" s="504">
        <v>0</v>
      </c>
      <c r="H31" s="505">
        <v>18675</v>
      </c>
      <c r="I31" s="504">
        <v>0</v>
      </c>
      <c r="J31" s="504">
        <v>0</v>
      </c>
      <c r="K31" s="504">
        <v>0</v>
      </c>
      <c r="L31" s="506">
        <v>325.73750000000001</v>
      </c>
      <c r="M31" s="505">
        <v>0</v>
      </c>
      <c r="N31" s="507">
        <v>0</v>
      </c>
      <c r="O31" s="508">
        <v>3</v>
      </c>
      <c r="P31" s="493">
        <f t="shared" si="0"/>
        <v>3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3</v>
      </c>
      <c r="W31" s="515">
        <f t="shared" si="10"/>
        <v>105.94400999999999</v>
      </c>
      <c r="Y31" s="513">
        <f t="shared" si="11"/>
        <v>2.62586502238784E-2</v>
      </c>
      <c r="Z31" s="510">
        <f t="shared" si="12"/>
        <v>0.1099397167573341</v>
      </c>
      <c r="AA31" s="511">
        <f t="shared" si="13"/>
        <v>0.1042024502976911</v>
      </c>
      <c r="AE31" s="598" t="str">
        <f t="shared" si="3"/>
        <v>410643</v>
      </c>
      <c r="AF31" s="502">
        <v>320</v>
      </c>
      <c r="AG31" s="606">
        <v>29</v>
      </c>
      <c r="AH31" s="607">
        <v>410643</v>
      </c>
      <c r="AI31" s="608">
        <f t="shared" si="4"/>
        <v>410643</v>
      </c>
      <c r="AJ31" s="609">
        <f t="shared" si="5"/>
        <v>0</v>
      </c>
      <c r="AL31" s="602">
        <f t="shared" si="6"/>
        <v>0</v>
      </c>
      <c r="AM31" s="610">
        <f t="shared" si="6"/>
        <v>3</v>
      </c>
      <c r="AN31" s="611">
        <f t="shared" si="7"/>
        <v>3</v>
      </c>
      <c r="AO31" s="612">
        <f t="shared" si="8"/>
        <v>1</v>
      </c>
    </row>
    <row r="32" spans="1:41" x14ac:dyDescent="0.2">
      <c r="A32" s="502">
        <v>320</v>
      </c>
      <c r="B32" s="503">
        <v>0.375</v>
      </c>
      <c r="C32" s="504">
        <v>2013</v>
      </c>
      <c r="D32" s="504">
        <v>3</v>
      </c>
      <c r="E32" s="504">
        <v>30</v>
      </c>
      <c r="F32" s="505">
        <v>410646</v>
      </c>
      <c r="G32" s="504">
        <v>0</v>
      </c>
      <c r="H32" s="505">
        <v>18675</v>
      </c>
      <c r="I32" s="504">
        <v>0</v>
      </c>
      <c r="J32" s="504">
        <v>0</v>
      </c>
      <c r="K32" s="504">
        <v>0</v>
      </c>
      <c r="L32" s="506">
        <v>325.5806</v>
      </c>
      <c r="M32" s="505">
        <v>0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410646</v>
      </c>
      <c r="AF32" s="502">
        <v>320</v>
      </c>
      <c r="AG32" s="606">
        <v>30</v>
      </c>
      <c r="AH32" s="607">
        <v>410643</v>
      </c>
      <c r="AI32" s="608">
        <f t="shared" si="4"/>
        <v>410646</v>
      </c>
      <c r="AJ32" s="609">
        <f t="shared" si="5"/>
        <v>3</v>
      </c>
      <c r="AL32" s="602">
        <f t="shared" si="6"/>
        <v>2</v>
      </c>
      <c r="AM32" s="610">
        <f t="shared" si="6"/>
        <v>0</v>
      </c>
      <c r="AN32" s="611">
        <f t="shared" si="7"/>
        <v>-2</v>
      </c>
      <c r="AO32" s="612" t="str">
        <f t="shared" si="8"/>
        <v/>
      </c>
    </row>
    <row r="33" spans="1:41" ht="13.5" thickBot="1" x14ac:dyDescent="0.25">
      <c r="A33" s="502">
        <v>320</v>
      </c>
      <c r="B33" s="503">
        <v>0.375</v>
      </c>
      <c r="C33" s="504">
        <v>2013</v>
      </c>
      <c r="D33" s="504">
        <v>3</v>
      </c>
      <c r="E33" s="504">
        <v>31</v>
      </c>
      <c r="F33" s="505">
        <v>410646</v>
      </c>
      <c r="G33" s="504">
        <v>0</v>
      </c>
      <c r="H33" s="505">
        <v>18675</v>
      </c>
      <c r="I33" s="504">
        <v>0</v>
      </c>
      <c r="J33" s="504">
        <v>0</v>
      </c>
      <c r="K33" s="504">
        <v>0</v>
      </c>
      <c r="L33" s="506">
        <v>325.4828</v>
      </c>
      <c r="M33" s="505">
        <v>0</v>
      </c>
      <c r="N33" s="507">
        <v>0</v>
      </c>
      <c r="O33" s="508">
        <v>105</v>
      </c>
      <c r="P33" s="493">
        <f t="shared" si="0"/>
        <v>105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105</v>
      </c>
      <c r="W33" s="519">
        <f t="shared" si="10"/>
        <v>3708.0403499999998</v>
      </c>
      <c r="Y33" s="513">
        <f t="shared" si="11"/>
        <v>0.91905275783574403</v>
      </c>
      <c r="Z33" s="510">
        <f t="shared" si="12"/>
        <v>3.847890086506693</v>
      </c>
      <c r="AA33" s="511">
        <f t="shared" si="13"/>
        <v>3.6470857604191886</v>
      </c>
      <c r="AE33" s="598" t="str">
        <f t="shared" si="3"/>
        <v>410646</v>
      </c>
      <c r="AF33" s="502">
        <v>320</v>
      </c>
      <c r="AG33" s="606">
        <v>31</v>
      </c>
      <c r="AH33" s="607">
        <v>410645</v>
      </c>
      <c r="AI33" s="608">
        <f t="shared" si="4"/>
        <v>410646</v>
      </c>
      <c r="AJ33" s="609">
        <f t="shared" si="5"/>
        <v>1</v>
      </c>
      <c r="AL33" s="602">
        <f t="shared" si="6"/>
        <v>0</v>
      </c>
      <c r="AM33" s="613">
        <f t="shared" si="6"/>
        <v>105</v>
      </c>
      <c r="AN33" s="611">
        <f t="shared" si="7"/>
        <v>105</v>
      </c>
      <c r="AO33" s="612">
        <f t="shared" si="8"/>
        <v>1</v>
      </c>
    </row>
    <row r="34" spans="1:41" ht="13.5" thickBot="1" x14ac:dyDescent="0.25">
      <c r="A34" s="148">
        <v>320</v>
      </c>
      <c r="B34" s="520">
        <v>0.375</v>
      </c>
      <c r="C34" s="146">
        <v>2013</v>
      </c>
      <c r="D34" s="146">
        <v>4</v>
      </c>
      <c r="E34" s="146">
        <v>1</v>
      </c>
      <c r="F34" s="521">
        <v>410751</v>
      </c>
      <c r="G34" s="146">
        <v>0</v>
      </c>
      <c r="H34" s="521">
        <v>18679</v>
      </c>
      <c r="I34" s="146">
        <v>0</v>
      </c>
      <c r="J34" s="146">
        <v>0</v>
      </c>
      <c r="K34" s="146">
        <v>0</v>
      </c>
      <c r="L34" s="522">
        <v>324.11669999999998</v>
      </c>
      <c r="M34" s="521">
        <v>4.3</v>
      </c>
      <c r="N34" s="523">
        <v>0</v>
      </c>
      <c r="O34" s="524">
        <v>6282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410751</v>
      </c>
      <c r="AF34" s="148">
        <v>320</v>
      </c>
      <c r="AG34" s="614">
        <v>1</v>
      </c>
      <c r="AH34" s="615">
        <v>410645</v>
      </c>
      <c r="AI34" s="616">
        <f t="shared" si="4"/>
        <v>410751</v>
      </c>
      <c r="AJ34" s="617">
        <f t="shared" si="5"/>
        <v>106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327.35969999999998</v>
      </c>
      <c r="M36" s="535">
        <f>MAX(M3:M34)</f>
        <v>283.2</v>
      </c>
      <c r="N36" s="533" t="s">
        <v>68</v>
      </c>
      <c r="O36" s="535">
        <f>SUM(O3:O33)</f>
        <v>101498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101498</v>
      </c>
      <c r="W36" s="539">
        <f>SUM(W3:W33)</f>
        <v>3584368.3756600008</v>
      </c>
      <c r="Y36" s="540">
        <f>SUM(Y3:Y33)</f>
        <v>883.19410322840463</v>
      </c>
      <c r="Z36" s="541">
        <f>SUM(Z3:Z33)</f>
        <v>3697.7570713966852</v>
      </c>
      <c r="AA36" s="542">
        <f>SUM(AA3:AA33)</f>
        <v>3504.7875218347281</v>
      </c>
      <c r="AF36" s="621" t="s">
        <v>208</v>
      </c>
      <c r="AG36" s="534">
        <f>COUNT(AG3:AG34)</f>
        <v>32</v>
      </c>
      <c r="AJ36" s="622">
        <f>SUM(AJ3:AJ33)</f>
        <v>82058</v>
      </c>
      <c r="AK36" s="623" t="s">
        <v>176</v>
      </c>
      <c r="AL36" s="624"/>
      <c r="AM36" s="624"/>
      <c r="AN36" s="622">
        <f>SUM(AN3:AN33)</f>
        <v>106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320.12877499999996</v>
      </c>
      <c r="M37" s="543">
        <f>AVERAGE(M3:M34)</f>
        <v>125.95</v>
      </c>
      <c r="N37" s="533" t="s">
        <v>172</v>
      </c>
      <c r="O37" s="544">
        <f>O36*35.31467</f>
        <v>3584368.3756599999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>
        <f>IFERROR(AN36/SUM(AM3:AM33),"")</f>
        <v>1.0443555538040159E-3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307.54809999999998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352.14165249999996</v>
      </c>
      <c r="M44" s="551">
        <f>M37*(1+$L$43)</f>
        <v>138.54500000000002</v>
      </c>
    </row>
    <row r="45" spans="1:41" x14ac:dyDescent="0.2">
      <c r="K45" s="550" t="s">
        <v>186</v>
      </c>
      <c r="L45" s="551">
        <f>L37*(1-$L$43)</f>
        <v>288.11589749999996</v>
      </c>
      <c r="M45" s="551">
        <f>M37*(1-$L$43)</f>
        <v>113.355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644"/>
  <sheetViews>
    <sheetView workbookViewId="0">
      <selection activeCell="A7" sqref="A7:O7"/>
    </sheetView>
  </sheetViews>
  <sheetFormatPr baseColWidth="10" defaultRowHeight="12.75" x14ac:dyDescent="0.2"/>
  <cols>
    <col min="1" max="3" width="17.28515625" style="114" customWidth="1"/>
    <col min="4" max="4" width="12.140625" style="114" customWidth="1"/>
    <col min="5" max="5" width="11.140625" style="114" customWidth="1"/>
    <col min="6" max="6" width="12.42578125" style="114" bestFit="1" customWidth="1"/>
    <col min="7" max="7" width="11.28515625" style="114" customWidth="1"/>
    <col min="8" max="8" width="11.5703125" style="114" customWidth="1"/>
    <col min="9" max="9" width="12.85546875" style="114" bestFit="1" customWidth="1"/>
    <col min="10" max="10" width="11.28515625" style="114" customWidth="1"/>
    <col min="11" max="11" width="8.28515625" style="116" bestFit="1" customWidth="1"/>
    <col min="12" max="12" width="13.7109375" style="114" bestFit="1" customWidth="1"/>
    <col min="13" max="13" width="10.42578125" style="114" customWidth="1"/>
    <col min="14" max="14" width="11.7109375" style="117" bestFit="1" customWidth="1"/>
    <col min="15" max="15" width="12.140625" style="114" customWidth="1"/>
    <col min="16" max="16" width="10.28515625" style="114" bestFit="1" customWidth="1"/>
    <col min="17" max="17" width="9.5703125" style="114" bestFit="1" customWidth="1"/>
    <col min="18" max="18" width="8.7109375" style="114" bestFit="1" customWidth="1"/>
    <col min="19" max="16384" width="11.42578125" style="114"/>
  </cols>
  <sheetData>
    <row r="1" spans="1:17" ht="15.75" x14ac:dyDescent="0.25">
      <c r="A1" s="761" t="s">
        <v>0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354"/>
      <c r="Q1" s="354"/>
    </row>
    <row r="2" spans="1:17" x14ac:dyDescent="0.2">
      <c r="A2" s="760" t="s">
        <v>8</v>
      </c>
      <c r="B2" s="760"/>
      <c r="C2" s="760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355"/>
      <c r="Q2" s="355"/>
    </row>
    <row r="3" spans="1:17" x14ac:dyDescent="0.2">
      <c r="A3" s="760" t="s">
        <v>9</v>
      </c>
      <c r="B3" s="760"/>
      <c r="C3" s="760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355"/>
      <c r="Q3" s="355"/>
    </row>
    <row r="4" spans="1:17" x14ac:dyDescent="0.2">
      <c r="A4" s="760"/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</row>
    <row r="5" spans="1:17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</row>
    <row r="6" spans="1:17" ht="15.75" x14ac:dyDescent="0.25">
      <c r="A6" s="773" t="s">
        <v>61</v>
      </c>
      <c r="B6" s="773"/>
      <c r="C6" s="773"/>
      <c r="D6" s="773"/>
      <c r="E6" s="773"/>
      <c r="F6" s="773"/>
      <c r="G6" s="773"/>
      <c r="H6" s="773"/>
      <c r="I6" s="773"/>
      <c r="J6" s="773"/>
      <c r="K6" s="773"/>
      <c r="L6" s="773"/>
      <c r="M6" s="773"/>
      <c r="N6" s="773"/>
      <c r="O6" s="773"/>
      <c r="P6" s="356"/>
      <c r="Q6" s="356"/>
    </row>
    <row r="7" spans="1:17" x14ac:dyDescent="0.2">
      <c r="A7" s="774" t="s">
        <v>243</v>
      </c>
      <c r="B7" s="774"/>
      <c r="C7" s="774"/>
      <c r="D7" s="774"/>
      <c r="E7" s="774"/>
      <c r="F7" s="774"/>
      <c r="G7" s="774"/>
      <c r="H7" s="774"/>
      <c r="I7" s="774"/>
      <c r="J7" s="774"/>
      <c r="K7" s="774"/>
      <c r="L7" s="774"/>
      <c r="M7" s="774"/>
      <c r="N7" s="774"/>
      <c r="O7" s="774"/>
      <c r="P7" s="357"/>
      <c r="Q7" s="357"/>
    </row>
    <row r="8" spans="1:17" x14ac:dyDescent="0.2">
      <c r="K8" s="114"/>
      <c r="N8" s="114"/>
    </row>
    <row r="9" spans="1:17" x14ac:dyDescent="0.2">
      <c r="A9" s="134" t="s">
        <v>38</v>
      </c>
    </row>
    <row r="10" spans="1:17" x14ac:dyDescent="0.2">
      <c r="B10" s="152" t="s">
        <v>39</v>
      </c>
      <c r="C10" s="114" t="s">
        <v>40</v>
      </c>
    </row>
    <row r="11" spans="1:17" x14ac:dyDescent="0.2">
      <c r="B11" s="152" t="s">
        <v>41</v>
      </c>
      <c r="C11" s="114" t="s">
        <v>67</v>
      </c>
    </row>
    <row r="12" spans="1:17" x14ac:dyDescent="0.2">
      <c r="B12" s="152" t="s">
        <v>42</v>
      </c>
      <c r="C12" s="114" t="s">
        <v>43</v>
      </c>
    </row>
    <row r="13" spans="1:17" ht="13.5" thickBot="1" x14ac:dyDescent="0.25"/>
    <row r="14" spans="1:17" ht="13.5" thickBot="1" x14ac:dyDescent="0.25">
      <c r="A14" s="762" t="s">
        <v>44</v>
      </c>
      <c r="B14" s="767" t="s">
        <v>45</v>
      </c>
      <c r="C14" s="768" t="s">
        <v>45</v>
      </c>
      <c r="D14" s="768"/>
      <c r="E14" s="768"/>
      <c r="F14" s="768"/>
      <c r="G14" s="768"/>
      <c r="H14" s="769"/>
      <c r="I14" s="765" t="s">
        <v>120</v>
      </c>
      <c r="J14" s="765"/>
      <c r="K14" s="766"/>
      <c r="L14" s="770" t="s">
        <v>119</v>
      </c>
      <c r="M14" s="771"/>
      <c r="N14" s="771"/>
      <c r="O14" s="772"/>
    </row>
    <row r="15" spans="1:17" s="118" customFormat="1" ht="54.75" x14ac:dyDescent="0.2">
      <c r="A15" s="763"/>
      <c r="B15" s="366" t="s">
        <v>66</v>
      </c>
      <c r="C15" s="467" t="s">
        <v>134</v>
      </c>
      <c r="D15" s="467" t="s">
        <v>135</v>
      </c>
      <c r="E15" s="467" t="s">
        <v>136</v>
      </c>
      <c r="F15" s="467" t="s">
        <v>139</v>
      </c>
      <c r="G15" s="467" t="s">
        <v>137</v>
      </c>
      <c r="H15" s="468" t="s">
        <v>138</v>
      </c>
      <c r="I15" s="386" t="s">
        <v>116</v>
      </c>
      <c r="J15" s="367" t="s">
        <v>117</v>
      </c>
      <c r="K15" s="369" t="s">
        <v>118</v>
      </c>
      <c r="L15" s="368" t="s">
        <v>116</v>
      </c>
      <c r="M15" s="367" t="s">
        <v>117</v>
      </c>
      <c r="N15" s="370" t="s">
        <v>46</v>
      </c>
      <c r="O15" s="151" t="s">
        <v>47</v>
      </c>
    </row>
    <row r="16" spans="1:17" s="119" customFormat="1" ht="13.5" thickBot="1" x14ac:dyDescent="0.25">
      <c r="A16" s="764"/>
      <c r="B16" s="148">
        <v>1</v>
      </c>
      <c r="C16" s="146">
        <v>2</v>
      </c>
      <c r="D16" s="146">
        <v>3</v>
      </c>
      <c r="E16" s="146">
        <v>4</v>
      </c>
      <c r="F16" s="146">
        <v>5</v>
      </c>
      <c r="G16" s="146">
        <v>6</v>
      </c>
      <c r="H16" s="147">
        <v>7</v>
      </c>
      <c r="I16" s="387">
        <v>8</v>
      </c>
      <c r="J16" s="146">
        <v>9</v>
      </c>
      <c r="K16" s="147">
        <v>10</v>
      </c>
      <c r="L16" s="149" t="s">
        <v>106</v>
      </c>
      <c r="M16" s="146" t="s">
        <v>107</v>
      </c>
      <c r="N16" s="146" t="s">
        <v>108</v>
      </c>
      <c r="O16" s="150" t="s">
        <v>121</v>
      </c>
    </row>
    <row r="17" spans="1:17" x14ac:dyDescent="0.2">
      <c r="A17" s="382">
        <v>20130301</v>
      </c>
      <c r="B17" s="391">
        <v>3020.4224233999998</v>
      </c>
      <c r="C17" s="140">
        <v>3020.4224233999998</v>
      </c>
      <c r="D17" s="141">
        <v>67.266433399999997</v>
      </c>
      <c r="E17" s="141">
        <v>19.592462999999999</v>
      </c>
      <c r="F17" s="142">
        <v>5522.2158200000003</v>
      </c>
      <c r="G17" s="142"/>
      <c r="H17" s="392"/>
      <c r="I17" s="143">
        <v>85529</v>
      </c>
      <c r="J17" s="144"/>
      <c r="K17" s="144"/>
      <c r="L17" s="141">
        <f>C17-I17</f>
        <v>-82508.577576600001</v>
      </c>
      <c r="M17" s="145">
        <f>D17-J17</f>
        <v>67.266433399999997</v>
      </c>
      <c r="N17" s="145">
        <f t="shared" ref="N17:N46" si="0">G17-K17</f>
        <v>0</v>
      </c>
      <c r="O17" s="124">
        <f>L17/I17</f>
        <v>-0.96468540000000003</v>
      </c>
      <c r="P17" s="125"/>
      <c r="Q17" s="126"/>
    </row>
    <row r="18" spans="1:17" x14ac:dyDescent="0.2">
      <c r="A18" s="382">
        <v>20130302</v>
      </c>
      <c r="B18" s="393">
        <v>1595</v>
      </c>
      <c r="C18" s="153">
        <v>56330</v>
      </c>
      <c r="D18" s="120">
        <v>66.897971600000005</v>
      </c>
      <c r="E18" s="120">
        <v>19.387761999999999</v>
      </c>
      <c r="F18" s="142">
        <v>5386.6123049999997</v>
      </c>
      <c r="G18" s="142"/>
      <c r="H18" s="394"/>
      <c r="I18" s="154">
        <v>56330</v>
      </c>
      <c r="J18" s="121"/>
      <c r="K18" s="121"/>
      <c r="L18" s="120">
        <f t="shared" ref="L18:L47" si="1">C18-I18</f>
        <v>0</v>
      </c>
      <c r="M18" s="145">
        <f t="shared" ref="M18:M46" si="2">D18-J18</f>
        <v>66.897971600000005</v>
      </c>
      <c r="N18" s="122">
        <f t="shared" si="0"/>
        <v>0</v>
      </c>
      <c r="O18" s="124">
        <f>L18/I18</f>
        <v>0</v>
      </c>
      <c r="P18" s="125"/>
      <c r="Q18" s="126"/>
    </row>
    <row r="19" spans="1:17" x14ac:dyDescent="0.2">
      <c r="A19" s="382">
        <v>20130303</v>
      </c>
      <c r="B19" s="393">
        <v>1440</v>
      </c>
      <c r="C19" s="153">
        <v>50843</v>
      </c>
      <c r="D19" s="120">
        <v>66.746188399999994</v>
      </c>
      <c r="E19" s="120">
        <v>19.303438</v>
      </c>
      <c r="F19" s="142">
        <v>5354.0766599999997</v>
      </c>
      <c r="G19" s="142"/>
      <c r="H19" s="394"/>
      <c r="I19" s="154">
        <v>50843</v>
      </c>
      <c r="J19" s="121"/>
      <c r="K19" s="121"/>
      <c r="L19" s="120">
        <f t="shared" si="1"/>
        <v>0</v>
      </c>
      <c r="M19" s="145">
        <f t="shared" si="2"/>
        <v>66.746188399999994</v>
      </c>
      <c r="N19" s="122">
        <f t="shared" si="0"/>
        <v>0</v>
      </c>
      <c r="O19" s="124">
        <f t="shared" ref="O19:O46" si="3">L19/I19</f>
        <v>0</v>
      </c>
      <c r="Q19" s="126"/>
    </row>
    <row r="20" spans="1:17" x14ac:dyDescent="0.2">
      <c r="A20" s="382">
        <v>20130304</v>
      </c>
      <c r="B20" s="393">
        <v>2842</v>
      </c>
      <c r="C20" s="153">
        <v>100361</v>
      </c>
      <c r="D20" s="120">
        <v>66.442292600000002</v>
      </c>
      <c r="E20" s="120">
        <v>19.134606999999999</v>
      </c>
      <c r="F20" s="142">
        <v>5354.0766599999997</v>
      </c>
      <c r="G20" s="142"/>
      <c r="H20" s="394"/>
      <c r="I20" s="154">
        <v>100361</v>
      </c>
      <c r="J20" s="121"/>
      <c r="K20" s="121"/>
      <c r="L20" s="120">
        <f t="shared" si="1"/>
        <v>0</v>
      </c>
      <c r="M20" s="145">
        <f t="shared" si="2"/>
        <v>66.442292600000002</v>
      </c>
      <c r="N20" s="122">
        <f t="shared" si="0"/>
        <v>0</v>
      </c>
      <c r="O20" s="124">
        <f t="shared" si="3"/>
        <v>0</v>
      </c>
      <c r="Q20" s="126"/>
    </row>
    <row r="21" spans="1:17" x14ac:dyDescent="0.2">
      <c r="A21" s="382">
        <v>20130305</v>
      </c>
      <c r="B21" s="393">
        <v>3070</v>
      </c>
      <c r="C21" s="153">
        <v>108414</v>
      </c>
      <c r="D21" s="120">
        <v>66.507317599999993</v>
      </c>
      <c r="E21" s="120">
        <v>19.170732000000001</v>
      </c>
      <c r="F21" s="142">
        <v>5354.0766599999997</v>
      </c>
      <c r="G21" s="142"/>
      <c r="H21" s="394"/>
      <c r="I21" s="154">
        <v>108414</v>
      </c>
      <c r="J21" s="121"/>
      <c r="K21" s="121"/>
      <c r="L21" s="120">
        <f t="shared" si="1"/>
        <v>0</v>
      </c>
      <c r="M21" s="145">
        <f t="shared" si="2"/>
        <v>66.507317599999993</v>
      </c>
      <c r="N21" s="122">
        <f t="shared" si="0"/>
        <v>0</v>
      </c>
      <c r="O21" s="124">
        <f t="shared" si="3"/>
        <v>0</v>
      </c>
      <c r="Q21" s="126"/>
    </row>
    <row r="22" spans="1:17" x14ac:dyDescent="0.2">
      <c r="A22" s="382">
        <v>20130306</v>
      </c>
      <c r="B22" s="393">
        <v>2809</v>
      </c>
      <c r="C22" s="153">
        <v>99196</v>
      </c>
      <c r="D22" s="120">
        <v>66.539271200000002</v>
      </c>
      <c r="E22" s="120">
        <v>19.188483999999999</v>
      </c>
      <c r="F22" s="142">
        <v>5354.0766599999997</v>
      </c>
      <c r="G22" s="142"/>
      <c r="H22" s="394"/>
      <c r="I22" s="154">
        <v>99196</v>
      </c>
      <c r="J22" s="121"/>
      <c r="K22" s="121"/>
      <c r="L22" s="120">
        <f t="shared" si="1"/>
        <v>0</v>
      </c>
      <c r="M22" s="145">
        <f t="shared" si="2"/>
        <v>66.539271200000002</v>
      </c>
      <c r="N22" s="122">
        <f t="shared" si="0"/>
        <v>0</v>
      </c>
      <c r="O22" s="124">
        <f t="shared" si="3"/>
        <v>0</v>
      </c>
      <c r="Q22" s="126"/>
    </row>
    <row r="23" spans="1:17" x14ac:dyDescent="0.2">
      <c r="A23" s="382">
        <v>20130307</v>
      </c>
      <c r="B23" s="393">
        <v>2773</v>
      </c>
      <c r="C23" s="153">
        <v>97932</v>
      </c>
      <c r="D23" s="120">
        <v>66.726921199999992</v>
      </c>
      <c r="E23" s="120">
        <v>19.292733999999999</v>
      </c>
      <c r="F23" s="142">
        <v>5354.0766599999997</v>
      </c>
      <c r="G23" s="142"/>
      <c r="H23" s="394"/>
      <c r="I23" s="154">
        <v>97932</v>
      </c>
      <c r="J23" s="121"/>
      <c r="K23" s="121"/>
      <c r="L23" s="120">
        <f t="shared" si="1"/>
        <v>0</v>
      </c>
      <c r="M23" s="145">
        <f t="shared" si="2"/>
        <v>66.726921199999992</v>
      </c>
      <c r="N23" s="122">
        <f t="shared" si="0"/>
        <v>0</v>
      </c>
      <c r="O23" s="124">
        <f t="shared" si="3"/>
        <v>0</v>
      </c>
      <c r="Q23" s="126"/>
    </row>
    <row r="24" spans="1:17" x14ac:dyDescent="0.2">
      <c r="A24" s="382">
        <v>20130308</v>
      </c>
      <c r="B24" s="393">
        <v>2753</v>
      </c>
      <c r="C24" s="153">
        <v>97237</v>
      </c>
      <c r="D24" s="120">
        <v>67.260939799999989</v>
      </c>
      <c r="E24" s="120">
        <v>19.589410999999998</v>
      </c>
      <c r="F24" s="142">
        <v>5354.0766599999997</v>
      </c>
      <c r="G24" s="142"/>
      <c r="H24" s="394"/>
      <c r="I24" s="154">
        <v>97237</v>
      </c>
      <c r="J24" s="121"/>
      <c r="K24" s="121"/>
      <c r="L24" s="120">
        <f t="shared" si="1"/>
        <v>0</v>
      </c>
      <c r="M24" s="145">
        <f t="shared" si="2"/>
        <v>67.260939799999989</v>
      </c>
      <c r="N24" s="122">
        <f t="shared" si="0"/>
        <v>0</v>
      </c>
      <c r="O24" s="124">
        <f t="shared" si="3"/>
        <v>0</v>
      </c>
      <c r="Q24" s="126"/>
    </row>
    <row r="25" spans="1:17" x14ac:dyDescent="0.2">
      <c r="A25" s="382">
        <v>20130309</v>
      </c>
      <c r="B25" s="393">
        <v>1615</v>
      </c>
      <c r="C25" s="153">
        <v>57036</v>
      </c>
      <c r="D25" s="120">
        <v>66.338895199999996</v>
      </c>
      <c r="E25" s="120">
        <v>19.077164</v>
      </c>
      <c r="F25" s="142">
        <v>5354.0766599999997</v>
      </c>
      <c r="G25" s="142"/>
      <c r="H25" s="394"/>
      <c r="I25" s="154">
        <v>57036</v>
      </c>
      <c r="J25" s="121"/>
      <c r="K25" s="121"/>
      <c r="L25" s="120">
        <f t="shared" si="1"/>
        <v>0</v>
      </c>
      <c r="M25" s="145">
        <f t="shared" si="2"/>
        <v>66.338895199999996</v>
      </c>
      <c r="N25" s="122">
        <f t="shared" si="0"/>
        <v>0</v>
      </c>
      <c r="O25" s="124">
        <f t="shared" si="3"/>
        <v>0</v>
      </c>
      <c r="Q25" s="126"/>
    </row>
    <row r="26" spans="1:17" x14ac:dyDescent="0.2">
      <c r="A26" s="382">
        <v>20130310</v>
      </c>
      <c r="B26" s="393">
        <v>1735</v>
      </c>
      <c r="C26" s="153">
        <v>61270</v>
      </c>
      <c r="D26" s="120">
        <v>66.289744400000004</v>
      </c>
      <c r="E26" s="120">
        <v>19.049858</v>
      </c>
      <c r="F26" s="142">
        <v>5354.0766599999997</v>
      </c>
      <c r="G26" s="142"/>
      <c r="H26" s="394"/>
      <c r="I26" s="154">
        <v>61270</v>
      </c>
      <c r="J26" s="121"/>
      <c r="K26" s="121"/>
      <c r="L26" s="120">
        <f t="shared" si="1"/>
        <v>0</v>
      </c>
      <c r="M26" s="145">
        <f t="shared" si="2"/>
        <v>66.289744400000004</v>
      </c>
      <c r="N26" s="122">
        <f t="shared" si="0"/>
        <v>0</v>
      </c>
      <c r="O26" s="124">
        <f t="shared" si="3"/>
        <v>0</v>
      </c>
      <c r="Q26" s="126"/>
    </row>
    <row r="27" spans="1:17" x14ac:dyDescent="0.2">
      <c r="A27" s="382">
        <v>20130311</v>
      </c>
      <c r="B27" s="393">
        <v>2614</v>
      </c>
      <c r="C27" s="153">
        <v>92330</v>
      </c>
      <c r="D27" s="120">
        <v>66.342979400000004</v>
      </c>
      <c r="E27" s="120">
        <v>19.079433000000002</v>
      </c>
      <c r="F27" s="142">
        <v>5354.0766599999997</v>
      </c>
      <c r="G27" s="142"/>
      <c r="H27" s="394"/>
      <c r="I27" s="154">
        <v>92330</v>
      </c>
      <c r="J27" s="121"/>
      <c r="K27" s="121"/>
      <c r="L27" s="120">
        <f t="shared" si="1"/>
        <v>0</v>
      </c>
      <c r="M27" s="145">
        <f t="shared" si="2"/>
        <v>66.342979400000004</v>
      </c>
      <c r="N27" s="122">
        <f t="shared" si="0"/>
        <v>0</v>
      </c>
      <c r="O27" s="124">
        <f t="shared" si="3"/>
        <v>0</v>
      </c>
      <c r="Q27" s="126"/>
    </row>
    <row r="28" spans="1:17" x14ac:dyDescent="0.2">
      <c r="A28" s="382">
        <v>20130312</v>
      </c>
      <c r="B28" s="393">
        <v>2947</v>
      </c>
      <c r="C28" s="153">
        <v>104057</v>
      </c>
      <c r="D28" s="120">
        <v>65.948520200000004</v>
      </c>
      <c r="E28" s="120">
        <v>18.860289000000002</v>
      </c>
      <c r="F28" s="142">
        <v>5354.0766599999997</v>
      </c>
      <c r="G28" s="142"/>
      <c r="H28" s="394"/>
      <c r="I28" s="154">
        <v>104057</v>
      </c>
      <c r="J28" s="121"/>
      <c r="K28" s="121"/>
      <c r="L28" s="120">
        <f t="shared" si="1"/>
        <v>0</v>
      </c>
      <c r="M28" s="145">
        <f t="shared" si="2"/>
        <v>65.948520200000004</v>
      </c>
      <c r="N28" s="122">
        <f t="shared" si="0"/>
        <v>0</v>
      </c>
      <c r="O28" s="124">
        <f t="shared" si="3"/>
        <v>0</v>
      </c>
      <c r="Q28" s="126"/>
    </row>
    <row r="29" spans="1:17" x14ac:dyDescent="0.2">
      <c r="A29" s="382">
        <v>20130313</v>
      </c>
      <c r="B29" s="393">
        <v>3117</v>
      </c>
      <c r="C29" s="153">
        <v>110091</v>
      </c>
      <c r="D29" s="120">
        <v>66.036750799999993</v>
      </c>
      <c r="E29" s="120">
        <v>18.909306000000001</v>
      </c>
      <c r="F29" s="142">
        <v>5354.0766599999997</v>
      </c>
      <c r="G29" s="142"/>
      <c r="H29" s="394"/>
      <c r="I29" s="154">
        <v>110091</v>
      </c>
      <c r="J29" s="121"/>
      <c r="K29" s="121"/>
      <c r="L29" s="120">
        <f t="shared" si="1"/>
        <v>0</v>
      </c>
      <c r="M29" s="145">
        <f t="shared" si="2"/>
        <v>66.036750799999993</v>
      </c>
      <c r="N29" s="122">
        <f t="shared" si="0"/>
        <v>0</v>
      </c>
      <c r="O29" s="124">
        <f t="shared" si="3"/>
        <v>0</v>
      </c>
      <c r="Q29" s="126"/>
    </row>
    <row r="30" spans="1:17" ht="13.5" thickBot="1" x14ac:dyDescent="0.25">
      <c r="A30" s="382">
        <v>20130314</v>
      </c>
      <c r="B30" s="393">
        <v>2991</v>
      </c>
      <c r="C30" s="153">
        <v>105623</v>
      </c>
      <c r="D30" s="120">
        <v>66.418086200000005</v>
      </c>
      <c r="E30" s="120">
        <v>19.121158999999999</v>
      </c>
      <c r="F30" s="142">
        <v>5354.0766599999997</v>
      </c>
      <c r="G30" s="142"/>
      <c r="H30" s="394"/>
      <c r="I30" s="154">
        <v>105623</v>
      </c>
      <c r="J30" s="121"/>
      <c r="K30" s="121"/>
      <c r="L30" s="120">
        <f t="shared" si="1"/>
        <v>0</v>
      </c>
      <c r="M30" s="145">
        <f t="shared" si="2"/>
        <v>66.418086200000005</v>
      </c>
      <c r="N30" s="122">
        <f t="shared" si="0"/>
        <v>0</v>
      </c>
      <c r="O30" s="124">
        <f t="shared" si="3"/>
        <v>0</v>
      </c>
      <c r="Q30" s="127"/>
    </row>
    <row r="31" spans="1:17" x14ac:dyDescent="0.2">
      <c r="A31" s="382">
        <v>20130315</v>
      </c>
      <c r="B31" s="393">
        <v>3046</v>
      </c>
      <c r="C31" s="153">
        <v>107565</v>
      </c>
      <c r="D31" s="120">
        <v>66.616309400000006</v>
      </c>
      <c r="E31" s="120">
        <v>19.231283000000001</v>
      </c>
      <c r="F31" s="142">
        <v>5354.0766599999997</v>
      </c>
      <c r="G31" s="142"/>
      <c r="H31" s="394"/>
      <c r="I31" s="154">
        <v>0</v>
      </c>
      <c r="J31" s="121"/>
      <c r="K31" s="121"/>
      <c r="L31" s="120">
        <f t="shared" si="1"/>
        <v>107565</v>
      </c>
      <c r="M31" s="145">
        <f t="shared" si="2"/>
        <v>66.616309400000006</v>
      </c>
      <c r="N31" s="129">
        <f t="shared" si="0"/>
        <v>0</v>
      </c>
      <c r="O31" s="124" t="e">
        <f t="shared" si="3"/>
        <v>#DIV/0!</v>
      </c>
    </row>
    <row r="32" spans="1:17" x14ac:dyDescent="0.2">
      <c r="A32" s="382">
        <v>20130316</v>
      </c>
      <c r="B32" s="393">
        <v>1616</v>
      </c>
      <c r="C32" s="153">
        <v>57071</v>
      </c>
      <c r="D32" s="120">
        <v>66.796520000000001</v>
      </c>
      <c r="E32" s="120">
        <v>19.331399999999999</v>
      </c>
      <c r="F32" s="142">
        <v>5354.0766599999997</v>
      </c>
      <c r="G32" s="142"/>
      <c r="H32" s="394"/>
      <c r="I32" s="154">
        <v>0</v>
      </c>
      <c r="J32" s="121"/>
      <c r="K32" s="121"/>
      <c r="L32" s="120">
        <f t="shared" si="1"/>
        <v>57071</v>
      </c>
      <c r="M32" s="145">
        <f t="shared" si="2"/>
        <v>66.796520000000001</v>
      </c>
      <c r="N32" s="129">
        <f t="shared" si="0"/>
        <v>0</v>
      </c>
      <c r="O32" s="124" t="e">
        <f t="shared" si="3"/>
        <v>#DIV/0!</v>
      </c>
    </row>
    <row r="33" spans="1:15" x14ac:dyDescent="0.2">
      <c r="A33" s="382">
        <v>20130317</v>
      </c>
      <c r="B33" s="393">
        <v>1016</v>
      </c>
      <c r="C33" s="153">
        <v>35893</v>
      </c>
      <c r="D33" s="120">
        <v>66.595188199999996</v>
      </c>
      <c r="E33" s="120">
        <v>19.219549000000001</v>
      </c>
      <c r="F33" s="142">
        <v>5354.0766599999997</v>
      </c>
      <c r="G33" s="142"/>
      <c r="H33" s="394"/>
      <c r="I33" s="154">
        <v>0</v>
      </c>
      <c r="J33" s="121"/>
      <c r="K33" s="121"/>
      <c r="L33" s="120">
        <f t="shared" si="1"/>
        <v>35893</v>
      </c>
      <c r="M33" s="145">
        <f t="shared" si="2"/>
        <v>66.595188199999996</v>
      </c>
      <c r="N33" s="129">
        <f t="shared" si="0"/>
        <v>0</v>
      </c>
      <c r="O33" s="124" t="e">
        <f t="shared" si="3"/>
        <v>#DIV/0!</v>
      </c>
    </row>
    <row r="34" spans="1:15" x14ac:dyDescent="0.2">
      <c r="A34" s="382">
        <v>20130318</v>
      </c>
      <c r="B34" s="393">
        <v>1244</v>
      </c>
      <c r="C34" s="153">
        <v>43926</v>
      </c>
      <c r="D34" s="120">
        <v>66.621817399999998</v>
      </c>
      <c r="E34" s="120">
        <v>19.234342999999999</v>
      </c>
      <c r="F34" s="142">
        <v>5354.0766599999997</v>
      </c>
      <c r="G34" s="142"/>
      <c r="H34" s="394"/>
      <c r="I34" s="154">
        <v>0</v>
      </c>
      <c r="J34" s="121"/>
      <c r="K34" s="121"/>
      <c r="L34" s="120">
        <f t="shared" si="1"/>
        <v>43926</v>
      </c>
      <c r="M34" s="145">
        <f t="shared" si="2"/>
        <v>66.621817399999998</v>
      </c>
      <c r="N34" s="129">
        <f t="shared" si="0"/>
        <v>0</v>
      </c>
      <c r="O34" s="124" t="e">
        <f t="shared" si="3"/>
        <v>#DIV/0!</v>
      </c>
    </row>
    <row r="35" spans="1:15" x14ac:dyDescent="0.2">
      <c r="A35" s="382">
        <v>20130319</v>
      </c>
      <c r="B35" s="393">
        <v>2554</v>
      </c>
      <c r="C35" s="153">
        <v>90178</v>
      </c>
      <c r="D35" s="120">
        <v>66.665580800000001</v>
      </c>
      <c r="E35" s="120">
        <v>19.258655999999998</v>
      </c>
      <c r="F35" s="142">
        <v>5354.0766599999997</v>
      </c>
      <c r="G35" s="142"/>
      <c r="H35" s="394"/>
      <c r="I35" s="154">
        <v>0</v>
      </c>
      <c r="J35" s="121"/>
      <c r="K35" s="121"/>
      <c r="L35" s="120">
        <f t="shared" si="1"/>
        <v>90178</v>
      </c>
      <c r="M35" s="145">
        <f t="shared" si="2"/>
        <v>66.665580800000001</v>
      </c>
      <c r="N35" s="129">
        <f t="shared" si="0"/>
        <v>0</v>
      </c>
      <c r="O35" s="124" t="e">
        <f t="shared" si="3"/>
        <v>#DIV/0!</v>
      </c>
    </row>
    <row r="36" spans="1:15" x14ac:dyDescent="0.2">
      <c r="A36" s="382">
        <v>20130320</v>
      </c>
      <c r="B36" s="393">
        <v>2652</v>
      </c>
      <c r="C36" s="153">
        <v>93669</v>
      </c>
      <c r="D36" s="120">
        <v>66.644294000000002</v>
      </c>
      <c r="E36" s="120">
        <v>19.246829999999999</v>
      </c>
      <c r="F36" s="142">
        <v>5354.0766599999997</v>
      </c>
      <c r="G36" s="142"/>
      <c r="H36" s="394"/>
      <c r="I36" s="154">
        <v>0</v>
      </c>
      <c r="J36" s="121"/>
      <c r="K36" s="121"/>
      <c r="L36" s="120">
        <f t="shared" si="1"/>
        <v>93669</v>
      </c>
      <c r="M36" s="145">
        <f t="shared" si="2"/>
        <v>66.644294000000002</v>
      </c>
      <c r="N36" s="129">
        <f t="shared" si="0"/>
        <v>0</v>
      </c>
      <c r="O36" s="124" t="e">
        <f t="shared" si="3"/>
        <v>#DIV/0!</v>
      </c>
    </row>
    <row r="37" spans="1:15" x14ac:dyDescent="0.2">
      <c r="A37" s="382">
        <v>20130321</v>
      </c>
      <c r="B37" s="393">
        <v>2800</v>
      </c>
      <c r="C37" s="153">
        <v>98868</v>
      </c>
      <c r="D37" s="120">
        <v>66.591264200000012</v>
      </c>
      <c r="E37" s="120">
        <v>19.217369000000001</v>
      </c>
      <c r="F37" s="142">
        <v>5354.0766599999997</v>
      </c>
      <c r="G37" s="142"/>
      <c r="H37" s="394"/>
      <c r="I37" s="154">
        <v>0</v>
      </c>
      <c r="J37" s="121"/>
      <c r="K37" s="121"/>
      <c r="L37" s="120">
        <f t="shared" si="1"/>
        <v>98868</v>
      </c>
      <c r="M37" s="145">
        <f t="shared" si="2"/>
        <v>66.591264200000012</v>
      </c>
      <c r="N37" s="129">
        <f t="shared" si="0"/>
        <v>0</v>
      </c>
      <c r="O37" s="124" t="e">
        <f t="shared" si="3"/>
        <v>#DIV/0!</v>
      </c>
    </row>
    <row r="38" spans="1:15" x14ac:dyDescent="0.2">
      <c r="A38" s="382">
        <v>20130322</v>
      </c>
      <c r="B38" s="393">
        <v>2612</v>
      </c>
      <c r="C38" s="153">
        <v>92257</v>
      </c>
      <c r="D38" s="120">
        <v>67.120246399999999</v>
      </c>
      <c r="E38" s="120">
        <v>19.511247999999998</v>
      </c>
      <c r="F38" s="142">
        <v>5354.0766599999997</v>
      </c>
      <c r="G38" s="142"/>
      <c r="H38" s="394"/>
      <c r="I38" s="154">
        <v>0</v>
      </c>
      <c r="J38" s="122"/>
      <c r="K38" s="122"/>
      <c r="L38" s="120">
        <f t="shared" si="1"/>
        <v>92257</v>
      </c>
      <c r="M38" s="145">
        <f t="shared" si="2"/>
        <v>67.120246399999999</v>
      </c>
      <c r="N38" s="129">
        <f t="shared" si="0"/>
        <v>0</v>
      </c>
      <c r="O38" s="124" t="e">
        <f t="shared" si="3"/>
        <v>#DIV/0!</v>
      </c>
    </row>
    <row r="39" spans="1:15" x14ac:dyDescent="0.2">
      <c r="A39" s="382">
        <v>20130323</v>
      </c>
      <c r="B39" s="393">
        <v>1681</v>
      </c>
      <c r="C39" s="153">
        <v>59352</v>
      </c>
      <c r="D39" s="120">
        <v>67.271977399999997</v>
      </c>
      <c r="E39" s="120">
        <v>19.595542999999999</v>
      </c>
      <c r="F39" s="142">
        <v>5354.0766599999997</v>
      </c>
      <c r="G39" s="142"/>
      <c r="H39" s="394"/>
      <c r="I39" s="154">
        <v>0</v>
      </c>
      <c r="J39" s="122"/>
      <c r="K39" s="122"/>
      <c r="L39" s="120">
        <f t="shared" si="1"/>
        <v>59352</v>
      </c>
      <c r="M39" s="145">
        <f t="shared" si="2"/>
        <v>67.271977399999997</v>
      </c>
      <c r="N39" s="129">
        <f t="shared" si="0"/>
        <v>0</v>
      </c>
      <c r="O39" s="124" t="e">
        <f t="shared" si="3"/>
        <v>#DIV/0!</v>
      </c>
    </row>
    <row r="40" spans="1:15" x14ac:dyDescent="0.2">
      <c r="A40" s="382">
        <v>20130324</v>
      </c>
      <c r="B40" s="393">
        <v>1538</v>
      </c>
      <c r="C40" s="153">
        <v>54327</v>
      </c>
      <c r="D40" s="120">
        <v>66.87561740000001</v>
      </c>
      <c r="E40" s="120">
        <v>19.375343000000001</v>
      </c>
      <c r="F40" s="142">
        <v>5354.0766599999997</v>
      </c>
      <c r="G40" s="142"/>
      <c r="H40" s="394"/>
      <c r="I40" s="154">
        <v>0</v>
      </c>
      <c r="J40" s="122"/>
      <c r="K40" s="122"/>
      <c r="L40" s="120">
        <f t="shared" si="1"/>
        <v>54327</v>
      </c>
      <c r="M40" s="145">
        <f t="shared" si="2"/>
        <v>66.87561740000001</v>
      </c>
      <c r="N40" s="129">
        <f t="shared" si="0"/>
        <v>0</v>
      </c>
      <c r="O40" s="124" t="e">
        <f t="shared" si="3"/>
        <v>#DIV/0!</v>
      </c>
    </row>
    <row r="41" spans="1:15" x14ac:dyDescent="0.2">
      <c r="A41" s="382">
        <v>20130325</v>
      </c>
      <c r="B41" s="393">
        <v>2642</v>
      </c>
      <c r="C41" s="153">
        <v>93300</v>
      </c>
      <c r="D41" s="120">
        <v>66.915849199999997</v>
      </c>
      <c r="E41" s="120">
        <v>19.397694000000001</v>
      </c>
      <c r="F41" s="142">
        <v>5354.0766599999997</v>
      </c>
      <c r="G41" s="142"/>
      <c r="H41" s="394"/>
      <c r="I41" s="154">
        <v>0</v>
      </c>
      <c r="J41" s="122"/>
      <c r="K41" s="122"/>
      <c r="L41" s="120">
        <f t="shared" si="1"/>
        <v>93300</v>
      </c>
      <c r="M41" s="145">
        <f t="shared" si="2"/>
        <v>66.915849199999997</v>
      </c>
      <c r="N41" s="129">
        <f t="shared" si="0"/>
        <v>0</v>
      </c>
      <c r="O41" s="124" t="e">
        <f t="shared" si="3"/>
        <v>#DIV/0!</v>
      </c>
    </row>
    <row r="42" spans="1:15" x14ac:dyDescent="0.2">
      <c r="A42" s="382">
        <v>20130326</v>
      </c>
      <c r="B42" s="393">
        <v>2651</v>
      </c>
      <c r="C42" s="153">
        <v>93631</v>
      </c>
      <c r="D42" s="120">
        <v>66.915849199999997</v>
      </c>
      <c r="E42" s="120">
        <v>19.397694000000001</v>
      </c>
      <c r="F42" s="142">
        <v>5354.0766599999997</v>
      </c>
      <c r="G42" s="142"/>
      <c r="H42" s="394"/>
      <c r="I42" s="154">
        <v>0</v>
      </c>
      <c r="J42" s="122"/>
      <c r="K42" s="122"/>
      <c r="L42" s="120">
        <f t="shared" si="1"/>
        <v>93631</v>
      </c>
      <c r="M42" s="145">
        <f t="shared" si="2"/>
        <v>66.915849199999997</v>
      </c>
      <c r="N42" s="129">
        <f t="shared" si="0"/>
        <v>0</v>
      </c>
      <c r="O42" s="124" t="e">
        <f t="shared" si="3"/>
        <v>#DIV/0!</v>
      </c>
    </row>
    <row r="43" spans="1:15" x14ac:dyDescent="0.2">
      <c r="A43" s="382">
        <v>20130327</v>
      </c>
      <c r="B43" s="393">
        <v>1884</v>
      </c>
      <c r="C43" s="153">
        <v>66529</v>
      </c>
      <c r="D43" s="120">
        <v>66.915849199999997</v>
      </c>
      <c r="E43" s="120">
        <v>19.397694000000001</v>
      </c>
      <c r="F43" s="142">
        <v>5354.0766599999997</v>
      </c>
      <c r="G43" s="142"/>
      <c r="H43" s="394"/>
      <c r="I43" s="154">
        <v>0</v>
      </c>
      <c r="J43" s="122"/>
      <c r="K43" s="122"/>
      <c r="L43" s="120">
        <f t="shared" si="1"/>
        <v>66529</v>
      </c>
      <c r="M43" s="145">
        <f t="shared" si="2"/>
        <v>66.915849199999997</v>
      </c>
      <c r="N43" s="129">
        <f t="shared" si="0"/>
        <v>0</v>
      </c>
      <c r="O43" s="124" t="e">
        <f t="shared" si="3"/>
        <v>#DIV/0!</v>
      </c>
    </row>
    <row r="44" spans="1:15" x14ac:dyDescent="0.2">
      <c r="A44" s="382">
        <v>20130328</v>
      </c>
      <c r="B44" s="393">
        <v>812</v>
      </c>
      <c r="C44" s="153">
        <v>28682</v>
      </c>
      <c r="D44" s="120">
        <v>66.915849199999997</v>
      </c>
      <c r="E44" s="120">
        <v>19.397694000000001</v>
      </c>
      <c r="F44" s="142">
        <v>5354.0766599999997</v>
      </c>
      <c r="G44" s="142"/>
      <c r="H44" s="394"/>
      <c r="I44" s="154">
        <v>0</v>
      </c>
      <c r="J44" s="122"/>
      <c r="K44" s="122"/>
      <c r="L44" s="120">
        <f t="shared" si="1"/>
        <v>28682</v>
      </c>
      <c r="M44" s="145">
        <f t="shared" si="2"/>
        <v>66.915849199999997</v>
      </c>
      <c r="N44" s="129">
        <f t="shared" si="0"/>
        <v>0</v>
      </c>
      <c r="O44" s="124" t="e">
        <f t="shared" si="3"/>
        <v>#DIV/0!</v>
      </c>
    </row>
    <row r="45" spans="1:15" x14ac:dyDescent="0.2">
      <c r="A45" s="382">
        <v>20130329</v>
      </c>
      <c r="B45" s="393">
        <v>742</v>
      </c>
      <c r="C45" s="153">
        <v>26194</v>
      </c>
      <c r="D45" s="120">
        <v>66.915849199999997</v>
      </c>
      <c r="E45" s="120">
        <v>19.397694000000001</v>
      </c>
      <c r="F45" s="142">
        <v>5354.0766599999997</v>
      </c>
      <c r="G45" s="142"/>
      <c r="H45" s="394"/>
      <c r="I45" s="154">
        <v>0</v>
      </c>
      <c r="J45" s="122"/>
      <c r="K45" s="122"/>
      <c r="L45" s="120">
        <f t="shared" si="1"/>
        <v>26194</v>
      </c>
      <c r="M45" s="145">
        <f t="shared" si="2"/>
        <v>66.915849199999997</v>
      </c>
      <c r="N45" s="129">
        <f t="shared" si="0"/>
        <v>0</v>
      </c>
      <c r="O45" s="124" t="e">
        <f t="shared" si="3"/>
        <v>#DIV/0!</v>
      </c>
    </row>
    <row r="46" spans="1:15" x14ac:dyDescent="0.2">
      <c r="A46" s="382">
        <v>20130330</v>
      </c>
      <c r="B46" s="393">
        <v>759</v>
      </c>
      <c r="C46" s="153">
        <v>26818</v>
      </c>
      <c r="D46" s="120">
        <v>66.915849199999997</v>
      </c>
      <c r="E46" s="120">
        <v>19.397694000000001</v>
      </c>
      <c r="F46" s="142">
        <v>5354.0766599999997</v>
      </c>
      <c r="G46" s="142"/>
      <c r="H46" s="394"/>
      <c r="I46" s="154">
        <v>0</v>
      </c>
      <c r="J46" s="122"/>
      <c r="K46" s="122"/>
      <c r="L46" s="120">
        <f t="shared" si="1"/>
        <v>26818</v>
      </c>
      <c r="M46" s="145">
        <f t="shared" si="2"/>
        <v>66.915849199999997</v>
      </c>
      <c r="N46" s="129">
        <f t="shared" si="0"/>
        <v>0</v>
      </c>
      <c r="O46" s="124" t="e">
        <f t="shared" si="3"/>
        <v>#DIV/0!</v>
      </c>
    </row>
    <row r="47" spans="1:15" ht="13.5" thickBot="1" x14ac:dyDescent="0.25">
      <c r="A47" s="382">
        <v>20130331</v>
      </c>
      <c r="B47" s="393">
        <v>1048</v>
      </c>
      <c r="C47" s="153">
        <v>37001</v>
      </c>
      <c r="D47" s="120">
        <v>66.915849199999997</v>
      </c>
      <c r="E47" s="120">
        <v>19.397694000000001</v>
      </c>
      <c r="F47" s="123">
        <v>5354.0766599999997</v>
      </c>
      <c r="G47" s="142"/>
      <c r="H47" s="394"/>
      <c r="I47" s="155">
        <v>0</v>
      </c>
      <c r="J47" s="156"/>
      <c r="K47" s="156"/>
      <c r="L47" s="157">
        <f t="shared" si="1"/>
        <v>37001</v>
      </c>
      <c r="M47" s="145">
        <f>D47-J47</f>
        <v>66.915849199999997</v>
      </c>
      <c r="N47" s="129">
        <f t="shared" ref="N47:N52" si="4">G47-K47</f>
        <v>0</v>
      </c>
      <c r="O47" s="124" t="e">
        <f t="shared" ref="O47:O52" si="5">L47/I47</f>
        <v>#DIV/0!</v>
      </c>
    </row>
    <row r="48" spans="1:15" s="134" customFormat="1" x14ac:dyDescent="0.2">
      <c r="A48" s="383" t="s">
        <v>109</v>
      </c>
      <c r="B48" s="438">
        <f>SUM(B17:B23)</f>
        <v>17549.422423399999</v>
      </c>
      <c r="C48" s="132">
        <f>SUM(C17:C23)</f>
        <v>516096.42242339998</v>
      </c>
      <c r="D48" s="132">
        <f>SUM(D17:D23)/7</f>
        <v>66.732342285714282</v>
      </c>
      <c r="E48" s="132">
        <f>SUM(E17:E23)/7</f>
        <v>19.295745714285715</v>
      </c>
      <c r="F48" s="132">
        <f>SUM(F17:F23)/7</f>
        <v>5382.7444892857138</v>
      </c>
      <c r="G48" s="132">
        <f>SUM(G17:G23)/7</f>
        <v>0</v>
      </c>
      <c r="H48" s="395"/>
      <c r="I48" s="388">
        <f>SUM(I17:I23)</f>
        <v>598605</v>
      </c>
      <c r="J48" s="131" t="e">
        <f>AVERAGE(J17:J23)</f>
        <v>#DIV/0!</v>
      </c>
      <c r="K48" s="158" t="e">
        <f>AVERAGE(K17:K23)</f>
        <v>#DIV/0!</v>
      </c>
      <c r="L48" s="130">
        <f>C48-I48</f>
        <v>-82508.577576600015</v>
      </c>
      <c r="M48" s="165" t="e">
        <f>E48-J48</f>
        <v>#DIV/0!</v>
      </c>
      <c r="N48" s="373" t="e">
        <f t="shared" si="4"/>
        <v>#DIV/0!</v>
      </c>
      <c r="O48" s="133">
        <f t="shared" si="5"/>
        <v>-0.13783476178214352</v>
      </c>
    </row>
    <row r="49" spans="1:17" s="134" customFormat="1" x14ac:dyDescent="0.2">
      <c r="A49" s="384" t="s">
        <v>110</v>
      </c>
      <c r="B49" s="439">
        <f>SUM(B24:B30)</f>
        <v>17772</v>
      </c>
      <c r="C49" s="440">
        <f>SUM(C24:C30)</f>
        <v>627644</v>
      </c>
      <c r="D49" s="440">
        <f>SUM(D24:D30)/7</f>
        <v>66.376559428571426</v>
      </c>
      <c r="E49" s="440">
        <f>SUM(E24:E30)/7</f>
        <v>19.098088571428569</v>
      </c>
      <c r="F49" s="440">
        <f>SUM(F24:F30)/7</f>
        <v>5354.0766599999997</v>
      </c>
      <c r="G49" s="440">
        <f>SUM(G24:G30)/7</f>
        <v>0</v>
      </c>
      <c r="H49" s="396"/>
      <c r="I49" s="389">
        <f>SUM(I24:I30)</f>
        <v>627644</v>
      </c>
      <c r="J49" s="135" t="e">
        <f t="shared" ref="J49:K52" si="6">AVERAGE(J24:J30)</f>
        <v>#DIV/0!</v>
      </c>
      <c r="K49" s="159" t="e">
        <f t="shared" si="6"/>
        <v>#DIV/0!</v>
      </c>
      <c r="L49" s="128">
        <f>C49-I49</f>
        <v>0</v>
      </c>
      <c r="M49" s="440" t="e">
        <f>E49-J49</f>
        <v>#DIV/0!</v>
      </c>
      <c r="N49" s="445" t="e">
        <f t="shared" si="4"/>
        <v>#DIV/0!</v>
      </c>
      <c r="O49" s="136">
        <f t="shared" si="5"/>
        <v>0</v>
      </c>
      <c r="P49" s="137">
        <f>C49-I49</f>
        <v>0</v>
      </c>
      <c r="Q49" s="134">
        <f>P49/7</f>
        <v>0</v>
      </c>
    </row>
    <row r="50" spans="1:17" s="134" customFormat="1" x14ac:dyDescent="0.2">
      <c r="A50" s="384" t="s">
        <v>111</v>
      </c>
      <c r="B50" s="439">
        <f>SUM(B31:B37)</f>
        <v>14928</v>
      </c>
      <c r="C50" s="440">
        <f>SUM(C31:C37)</f>
        <v>527170</v>
      </c>
      <c r="D50" s="440">
        <f>SUM(D38:D44)/7</f>
        <v>66.99017685714287</v>
      </c>
      <c r="E50" s="440">
        <f>SUM(E38:E44)/7</f>
        <v>19.438987142857144</v>
      </c>
      <c r="F50" s="440">
        <f>SUM(F31:F37)/7</f>
        <v>5354.0766599999997</v>
      </c>
      <c r="G50" s="440">
        <f>SUM(G31:G37)/7</f>
        <v>0</v>
      </c>
      <c r="H50" s="396"/>
      <c r="I50" s="389">
        <f>SUM(I31:I37)</f>
        <v>0</v>
      </c>
      <c r="J50" s="135" t="e">
        <f>AVERAGE(J31:J37)</f>
        <v>#DIV/0!</v>
      </c>
      <c r="K50" s="135" t="e">
        <f t="shared" si="6"/>
        <v>#DIV/0!</v>
      </c>
      <c r="L50" s="128">
        <f>C50-I50</f>
        <v>527170</v>
      </c>
      <c r="M50" s="440" t="e">
        <f>E50-J50</f>
        <v>#DIV/0!</v>
      </c>
      <c r="N50" s="445" t="e">
        <f t="shared" si="4"/>
        <v>#DIV/0!</v>
      </c>
      <c r="O50" s="136" t="e">
        <f t="shared" si="5"/>
        <v>#DIV/0!</v>
      </c>
      <c r="Q50" s="138"/>
    </row>
    <row r="51" spans="1:17" s="134" customFormat="1" x14ac:dyDescent="0.2">
      <c r="A51" s="384" t="s">
        <v>112</v>
      </c>
      <c r="B51" s="439">
        <f>SUM(B38:B44)</f>
        <v>13820</v>
      </c>
      <c r="C51" s="440">
        <f>SUM(C38:C44)</f>
        <v>488078</v>
      </c>
      <c r="D51" s="440">
        <f>SUM(D32:D38)/7</f>
        <v>66.719273000000001</v>
      </c>
      <c r="E51" s="440">
        <f>SUM(E32:E38)/7</f>
        <v>19.288485000000001</v>
      </c>
      <c r="F51" s="440">
        <f>SUM(F38:F44)/7</f>
        <v>5354.0766599999997</v>
      </c>
      <c r="G51" s="440">
        <f>SUM(G38:G44)/7</f>
        <v>0</v>
      </c>
      <c r="H51" s="396"/>
      <c r="I51" s="389">
        <f>SUM(I38:I44)</f>
        <v>0</v>
      </c>
      <c r="J51" s="135" t="e">
        <f>AVERAGE(J38:J44)</f>
        <v>#DIV/0!</v>
      </c>
      <c r="K51" s="135" t="e">
        <f t="shared" si="6"/>
        <v>#DIV/0!</v>
      </c>
      <c r="L51" s="128">
        <f>C51-I51</f>
        <v>488078</v>
      </c>
      <c r="M51" s="440" t="e">
        <f>E51-J51</f>
        <v>#DIV/0!</v>
      </c>
      <c r="N51" s="445" t="e">
        <f t="shared" si="4"/>
        <v>#DIV/0!</v>
      </c>
      <c r="O51" s="136" t="e">
        <f t="shared" si="5"/>
        <v>#DIV/0!</v>
      </c>
      <c r="Q51" s="138"/>
    </row>
    <row r="52" spans="1:17" s="134" customFormat="1" ht="13.5" thickBot="1" x14ac:dyDescent="0.25">
      <c r="A52" s="385" t="s">
        <v>113</v>
      </c>
      <c r="B52" s="441">
        <f>SUM(B45:B47)</f>
        <v>2549</v>
      </c>
      <c r="C52" s="442">
        <f>SUM(C45:C47)</f>
        <v>90013</v>
      </c>
      <c r="D52" s="442">
        <f>SUM(D45:D47)/7</f>
        <v>28.678221085714284</v>
      </c>
      <c r="E52" s="442">
        <f>SUM(E45:E47)/7</f>
        <v>8.3132974285714294</v>
      </c>
      <c r="F52" s="442">
        <f>SUM(F45:F47)/7</f>
        <v>2294.6042828571431</v>
      </c>
      <c r="G52" s="442">
        <f>SUM(G45:G47)/7</f>
        <v>0</v>
      </c>
      <c r="H52" s="397"/>
      <c r="I52" s="390">
        <f>SUM(I45:I47)</f>
        <v>0</v>
      </c>
      <c r="J52" s="372" t="e">
        <f>AVERAGE(J45:J47)</f>
        <v>#DIV/0!</v>
      </c>
      <c r="K52" s="372" t="e">
        <f t="shared" si="6"/>
        <v>#DIV/0!</v>
      </c>
      <c r="L52" s="371">
        <f>C52-I52</f>
        <v>90013</v>
      </c>
      <c r="M52" s="443" t="e">
        <f>E52-J52</f>
        <v>#DIV/0!</v>
      </c>
      <c r="N52" s="444" t="e">
        <f t="shared" si="4"/>
        <v>#DIV/0!</v>
      </c>
      <c r="O52" s="374" t="e">
        <f t="shared" si="5"/>
        <v>#DIV/0!</v>
      </c>
      <c r="P52" s="139"/>
    </row>
    <row r="53" spans="1:17" s="134" customFormat="1" ht="13.5" thickBot="1" x14ac:dyDescent="0.25">
      <c r="A53" s="375"/>
      <c r="B53" s="398"/>
      <c r="C53" s="376"/>
      <c r="D53" s="376"/>
      <c r="E53" s="376"/>
      <c r="F53" s="377"/>
      <c r="G53" s="377"/>
      <c r="H53" s="399"/>
      <c r="I53" s="378"/>
      <c r="J53" s="379"/>
      <c r="K53" s="379"/>
      <c r="L53" s="376"/>
      <c r="M53" s="378"/>
      <c r="N53" s="380"/>
      <c r="O53" s="381"/>
      <c r="P53" s="139"/>
    </row>
    <row r="54" spans="1:17" x14ac:dyDescent="0.2">
      <c r="A54" s="358" t="s">
        <v>115</v>
      </c>
      <c r="B54" s="400"/>
      <c r="C54" s="359">
        <f>C48+C49</f>
        <v>1143740.4224234</v>
      </c>
      <c r="D54" s="359"/>
      <c r="E54" s="360"/>
      <c r="F54" s="360"/>
      <c r="G54" s="360"/>
      <c r="H54" s="401"/>
      <c r="I54" s="359">
        <f>I48+I49</f>
        <v>1226249</v>
      </c>
      <c r="J54" s="360"/>
      <c r="K54" s="360"/>
      <c r="L54" s="359">
        <f>C54-I54</f>
        <v>-82508.577576600015</v>
      </c>
      <c r="M54" s="360"/>
      <c r="N54" s="360"/>
      <c r="O54" s="361">
        <f>L54/I54</f>
        <v>-6.7285337298215953E-2</v>
      </c>
    </row>
    <row r="55" spans="1:17" x14ac:dyDescent="0.2">
      <c r="A55" s="358" t="s">
        <v>114</v>
      </c>
      <c r="B55" s="400"/>
      <c r="C55" s="359">
        <f>C52+C51+C50</f>
        <v>1105261</v>
      </c>
      <c r="D55" s="359"/>
      <c r="E55" s="360"/>
      <c r="F55" s="360"/>
      <c r="G55" s="360"/>
      <c r="H55" s="401"/>
      <c r="I55" s="359">
        <f>I52+I51+I50</f>
        <v>0</v>
      </c>
      <c r="J55" s="360"/>
      <c r="K55" s="360"/>
      <c r="L55" s="359">
        <f>C55-I55</f>
        <v>1105261</v>
      </c>
      <c r="M55" s="360"/>
      <c r="N55" s="360"/>
      <c r="O55" s="361" t="e">
        <f>L55/I55</f>
        <v>#DIV/0!</v>
      </c>
    </row>
    <row r="56" spans="1:17" x14ac:dyDescent="0.2">
      <c r="A56" s="163" t="s">
        <v>49</v>
      </c>
      <c r="B56" s="402"/>
      <c r="C56" s="160">
        <f>C55+C54</f>
        <v>2249001.4224234</v>
      </c>
      <c r="D56" s="160"/>
      <c r="E56" s="161"/>
      <c r="F56" s="161"/>
      <c r="G56" s="161"/>
      <c r="H56" s="403"/>
      <c r="I56" s="160">
        <f>I55+I54</f>
        <v>1226249</v>
      </c>
      <c r="J56" s="161"/>
      <c r="K56" s="161"/>
      <c r="L56" s="160">
        <f>C56-I56</f>
        <v>1022752.4224234</v>
      </c>
      <c r="M56" s="161"/>
      <c r="N56" s="161"/>
      <c r="O56" s="162">
        <f>L56/I56</f>
        <v>0.8340495465630553</v>
      </c>
    </row>
    <row r="57" spans="1:17" ht="13.5" thickBot="1" x14ac:dyDescent="0.25">
      <c r="A57" s="362" t="s">
        <v>48</v>
      </c>
      <c r="B57" s="404"/>
      <c r="C57" s="363">
        <f>+AVERAGE(C17:C47)</f>
        <v>72548.432981399994</v>
      </c>
      <c r="D57" s="363"/>
      <c r="E57" s="364"/>
      <c r="F57" s="364"/>
      <c r="G57" s="364"/>
      <c r="H57" s="405"/>
      <c r="I57" s="363">
        <f>SUM(I17:I46)</f>
        <v>1226249</v>
      </c>
      <c r="J57" s="364"/>
      <c r="K57" s="364"/>
      <c r="L57" s="363">
        <f>C57-I57</f>
        <v>-1153700.5670185999</v>
      </c>
      <c r="M57" s="364"/>
      <c r="N57" s="364"/>
      <c r="O57" s="365">
        <f>L57/I57</f>
        <v>-0.94083711140119175</v>
      </c>
    </row>
    <row r="58" spans="1:17" x14ac:dyDescent="0.2">
      <c r="K58" s="114"/>
      <c r="N58" s="114"/>
    </row>
    <row r="59" spans="1:17" x14ac:dyDescent="0.2">
      <c r="G59" s="125"/>
      <c r="H59" s="125"/>
      <c r="I59" s="125"/>
      <c r="J59" s="125"/>
      <c r="K59" s="125"/>
      <c r="L59" s="125"/>
      <c r="N59" s="114"/>
    </row>
    <row r="60" spans="1:17" x14ac:dyDescent="0.2">
      <c r="C60" s="117"/>
      <c r="G60" s="125"/>
      <c r="H60" s="125"/>
      <c r="I60" s="125"/>
      <c r="J60" s="125"/>
      <c r="K60" s="125"/>
      <c r="L60" s="125"/>
      <c r="M60" s="117"/>
      <c r="N60" s="114"/>
    </row>
    <row r="61" spans="1:17" x14ac:dyDescent="0.2">
      <c r="C61" s="117"/>
      <c r="G61" s="125"/>
      <c r="H61" s="125"/>
      <c r="I61" s="125"/>
      <c r="J61" s="125"/>
      <c r="K61" s="125"/>
      <c r="L61" s="125"/>
      <c r="M61" s="117"/>
      <c r="N61" s="114"/>
    </row>
    <row r="62" spans="1:17" x14ac:dyDescent="0.2">
      <c r="C62" s="117"/>
      <c r="D62" s="117"/>
      <c r="E62" s="117"/>
      <c r="F62" s="117"/>
      <c r="G62" s="117"/>
      <c r="H62" s="117"/>
      <c r="I62" s="117"/>
      <c r="J62" s="125"/>
      <c r="K62" s="125"/>
      <c r="L62" s="125"/>
      <c r="M62" s="117"/>
      <c r="N62" s="114"/>
    </row>
    <row r="63" spans="1:17" x14ac:dyDescent="0.2">
      <c r="C63" s="117"/>
      <c r="D63" s="117"/>
      <c r="E63" s="117"/>
      <c r="F63" s="117"/>
      <c r="G63" s="117"/>
      <c r="H63" s="117"/>
      <c r="I63" s="117"/>
      <c r="J63" s="125"/>
      <c r="K63" s="125"/>
      <c r="M63" s="117"/>
      <c r="N63" s="114"/>
    </row>
    <row r="64" spans="1:17" x14ac:dyDescent="0.2">
      <c r="H64" s="125"/>
      <c r="I64" s="125"/>
      <c r="J64" s="125"/>
      <c r="K64" s="125"/>
      <c r="M64" s="117"/>
      <c r="N64" s="114"/>
    </row>
    <row r="65" spans="10:14" x14ac:dyDescent="0.2">
      <c r="J65" s="116"/>
      <c r="K65" s="114"/>
      <c r="M65" s="117"/>
      <c r="N65" s="114"/>
    </row>
    <row r="66" spans="10:14" x14ac:dyDescent="0.2">
      <c r="J66" s="116"/>
      <c r="K66" s="114"/>
      <c r="M66" s="117"/>
      <c r="N66" s="114"/>
    </row>
    <row r="67" spans="10:14" x14ac:dyDescent="0.2">
      <c r="J67" s="116"/>
      <c r="K67" s="114"/>
      <c r="M67" s="117"/>
      <c r="N67" s="114"/>
    </row>
    <row r="68" spans="10:14" x14ac:dyDescent="0.2">
      <c r="J68" s="116"/>
      <c r="K68" s="114"/>
      <c r="M68" s="117"/>
      <c r="N68" s="114"/>
    </row>
    <row r="69" spans="10:14" x14ac:dyDescent="0.2">
      <c r="J69" s="116"/>
      <c r="K69" s="114"/>
      <c r="M69" s="117"/>
      <c r="N69" s="114"/>
    </row>
    <row r="70" spans="10:14" x14ac:dyDescent="0.2">
      <c r="J70" s="116"/>
      <c r="K70" s="114"/>
      <c r="M70" s="117"/>
      <c r="N70" s="114"/>
    </row>
    <row r="71" spans="10:14" x14ac:dyDescent="0.2">
      <c r="J71" s="116"/>
      <c r="K71" s="114"/>
      <c r="M71" s="117"/>
      <c r="N71" s="114"/>
    </row>
    <row r="72" spans="10:14" x14ac:dyDescent="0.2">
      <c r="J72" s="116"/>
      <c r="K72" s="114"/>
      <c r="M72" s="117"/>
      <c r="N72" s="114"/>
    </row>
    <row r="73" spans="10:14" x14ac:dyDescent="0.2">
      <c r="J73" s="116"/>
      <c r="K73" s="114"/>
      <c r="M73" s="117"/>
      <c r="N73" s="114"/>
    </row>
    <row r="74" spans="10:14" x14ac:dyDescent="0.2">
      <c r="J74" s="116"/>
      <c r="K74" s="114"/>
      <c r="M74" s="117"/>
      <c r="N74" s="114"/>
    </row>
    <row r="75" spans="10:14" x14ac:dyDescent="0.2">
      <c r="J75" s="116"/>
      <c r="K75" s="114"/>
      <c r="M75" s="117"/>
      <c r="N75" s="114"/>
    </row>
    <row r="76" spans="10:14" x14ac:dyDescent="0.2">
      <c r="J76" s="116"/>
      <c r="K76" s="114"/>
      <c r="M76" s="117"/>
      <c r="N76" s="114"/>
    </row>
    <row r="77" spans="10:14" x14ac:dyDescent="0.2">
      <c r="J77" s="116"/>
      <c r="K77" s="114"/>
      <c r="M77" s="117"/>
      <c r="N77" s="114"/>
    </row>
    <row r="78" spans="10:14" x14ac:dyDescent="0.2">
      <c r="J78" s="116"/>
      <c r="K78" s="114"/>
      <c r="M78" s="117"/>
      <c r="N78" s="114"/>
    </row>
    <row r="79" spans="10:14" x14ac:dyDescent="0.2">
      <c r="J79" s="116"/>
      <c r="K79" s="114"/>
      <c r="M79" s="117"/>
      <c r="N79" s="114"/>
    </row>
    <row r="80" spans="10:14" x14ac:dyDescent="0.2">
      <c r="J80" s="116"/>
      <c r="K80" s="114"/>
      <c r="M80" s="117"/>
      <c r="N80" s="114"/>
    </row>
    <row r="81" spans="10:14" x14ac:dyDescent="0.2">
      <c r="J81" s="116"/>
      <c r="K81" s="114"/>
      <c r="M81" s="117"/>
      <c r="N81" s="114"/>
    </row>
    <row r="82" spans="10:14" x14ac:dyDescent="0.2">
      <c r="J82" s="116"/>
      <c r="K82" s="114"/>
      <c r="M82" s="117"/>
      <c r="N82" s="114"/>
    </row>
    <row r="83" spans="10:14" x14ac:dyDescent="0.2">
      <c r="J83" s="116"/>
      <c r="K83" s="114"/>
      <c r="M83" s="117"/>
      <c r="N83" s="114"/>
    </row>
    <row r="84" spans="10:14" x14ac:dyDescent="0.2">
      <c r="J84" s="116"/>
      <c r="K84" s="114"/>
      <c r="M84" s="117"/>
      <c r="N84" s="114"/>
    </row>
    <row r="85" spans="10:14" x14ac:dyDescent="0.2">
      <c r="J85" s="116"/>
      <c r="K85" s="114"/>
      <c r="M85" s="117"/>
      <c r="N85" s="114"/>
    </row>
    <row r="86" spans="10:14" x14ac:dyDescent="0.2">
      <c r="J86" s="116"/>
      <c r="K86" s="114"/>
      <c r="M86" s="117"/>
      <c r="N86" s="114"/>
    </row>
    <row r="87" spans="10:14" x14ac:dyDescent="0.2">
      <c r="J87" s="116"/>
      <c r="K87" s="114"/>
      <c r="M87" s="117"/>
      <c r="N87" s="114"/>
    </row>
    <row r="88" spans="10:14" x14ac:dyDescent="0.2">
      <c r="J88" s="116"/>
      <c r="K88" s="114"/>
      <c r="M88" s="117"/>
      <c r="N88" s="114"/>
    </row>
    <row r="89" spans="10:14" x14ac:dyDescent="0.2">
      <c r="J89" s="116"/>
      <c r="K89" s="114"/>
      <c r="M89" s="117"/>
      <c r="N89" s="114"/>
    </row>
    <row r="90" spans="10:14" x14ac:dyDescent="0.2">
      <c r="J90" s="116"/>
      <c r="K90" s="114"/>
      <c r="M90" s="117"/>
      <c r="N90" s="114"/>
    </row>
    <row r="91" spans="10:14" x14ac:dyDescent="0.2">
      <c r="J91" s="116"/>
      <c r="K91" s="114"/>
      <c r="M91" s="117"/>
      <c r="N91" s="114"/>
    </row>
    <row r="92" spans="10:14" x14ac:dyDescent="0.2">
      <c r="J92" s="116"/>
      <c r="K92" s="114"/>
      <c r="M92" s="117"/>
      <c r="N92" s="114"/>
    </row>
    <row r="93" spans="10:14" x14ac:dyDescent="0.2">
      <c r="J93" s="116"/>
      <c r="K93" s="114"/>
      <c r="M93" s="117"/>
      <c r="N93" s="114"/>
    </row>
    <row r="94" spans="10:14" x14ac:dyDescent="0.2">
      <c r="J94" s="116"/>
      <c r="K94" s="114"/>
      <c r="M94" s="117"/>
      <c r="N94" s="114"/>
    </row>
    <row r="95" spans="10:14" x14ac:dyDescent="0.2">
      <c r="J95" s="116"/>
      <c r="K95" s="114"/>
      <c r="M95" s="117"/>
      <c r="N95" s="114"/>
    </row>
    <row r="96" spans="10:14" x14ac:dyDescent="0.2">
      <c r="J96" s="116"/>
      <c r="K96" s="114"/>
      <c r="M96" s="117"/>
      <c r="N96" s="114"/>
    </row>
    <row r="97" spans="10:14" x14ac:dyDescent="0.2">
      <c r="J97" s="116"/>
      <c r="K97" s="114"/>
      <c r="M97" s="117"/>
      <c r="N97" s="114"/>
    </row>
    <row r="98" spans="10:14" x14ac:dyDescent="0.2">
      <c r="J98" s="116"/>
      <c r="K98" s="114"/>
      <c r="M98" s="117"/>
      <c r="N98" s="114"/>
    </row>
    <row r="99" spans="10:14" x14ac:dyDescent="0.2">
      <c r="J99" s="116"/>
      <c r="K99" s="114"/>
      <c r="M99" s="117"/>
      <c r="N99" s="114"/>
    </row>
    <row r="100" spans="10:14" x14ac:dyDescent="0.2">
      <c r="J100" s="116"/>
      <c r="K100" s="114"/>
      <c r="M100" s="117"/>
      <c r="N100" s="114"/>
    </row>
    <row r="101" spans="10:14" x14ac:dyDescent="0.2">
      <c r="J101" s="116"/>
      <c r="K101" s="114"/>
      <c r="M101" s="117"/>
      <c r="N101" s="114"/>
    </row>
    <row r="102" spans="10:14" x14ac:dyDescent="0.2">
      <c r="J102" s="116"/>
      <c r="K102" s="114"/>
      <c r="M102" s="117"/>
      <c r="N102" s="114"/>
    </row>
    <row r="103" spans="10:14" x14ac:dyDescent="0.2">
      <c r="J103" s="116"/>
      <c r="K103" s="114"/>
      <c r="M103" s="117"/>
      <c r="N103" s="114"/>
    </row>
    <row r="104" spans="10:14" x14ac:dyDescent="0.2">
      <c r="J104" s="116"/>
      <c r="K104" s="114"/>
      <c r="M104" s="117"/>
      <c r="N104" s="114"/>
    </row>
    <row r="105" spans="10:14" x14ac:dyDescent="0.2">
      <c r="J105" s="116"/>
      <c r="K105" s="114"/>
      <c r="M105" s="117"/>
      <c r="N105" s="114"/>
    </row>
    <row r="106" spans="10:14" x14ac:dyDescent="0.2">
      <c r="J106" s="116"/>
      <c r="K106" s="114"/>
      <c r="M106" s="117"/>
      <c r="N106" s="114"/>
    </row>
    <row r="107" spans="10:14" x14ac:dyDescent="0.2">
      <c r="J107" s="116"/>
      <c r="K107" s="114"/>
      <c r="M107" s="117"/>
      <c r="N107" s="114"/>
    </row>
    <row r="108" spans="10:14" x14ac:dyDescent="0.2">
      <c r="J108" s="116"/>
      <c r="K108" s="114"/>
      <c r="M108" s="117"/>
      <c r="N108" s="114"/>
    </row>
    <row r="109" spans="10:14" x14ac:dyDescent="0.2">
      <c r="J109" s="116"/>
      <c r="K109" s="114"/>
      <c r="M109" s="117"/>
      <c r="N109" s="114"/>
    </row>
    <row r="110" spans="10:14" x14ac:dyDescent="0.2">
      <c r="J110" s="116"/>
      <c r="K110" s="114"/>
      <c r="M110" s="117"/>
      <c r="N110" s="114"/>
    </row>
    <row r="111" spans="10:14" x14ac:dyDescent="0.2">
      <c r="J111" s="116"/>
      <c r="K111" s="114"/>
      <c r="M111" s="117"/>
      <c r="N111" s="114"/>
    </row>
    <row r="112" spans="10:14" x14ac:dyDescent="0.2">
      <c r="J112" s="116"/>
      <c r="K112" s="114"/>
      <c r="M112" s="117"/>
      <c r="N112" s="114"/>
    </row>
    <row r="113" spans="10:14" x14ac:dyDescent="0.2">
      <c r="J113" s="116"/>
      <c r="K113" s="114"/>
      <c r="M113" s="117"/>
      <c r="N113" s="114"/>
    </row>
    <row r="114" spans="10:14" x14ac:dyDescent="0.2">
      <c r="J114" s="116"/>
      <c r="K114" s="114"/>
      <c r="M114" s="117"/>
      <c r="N114" s="114"/>
    </row>
    <row r="115" spans="10:14" x14ac:dyDescent="0.2">
      <c r="J115" s="116"/>
      <c r="K115" s="114"/>
      <c r="M115" s="117"/>
      <c r="N115" s="114"/>
    </row>
    <row r="116" spans="10:14" x14ac:dyDescent="0.2">
      <c r="J116" s="116"/>
      <c r="K116" s="114"/>
      <c r="M116" s="117"/>
      <c r="N116" s="114"/>
    </row>
    <row r="117" spans="10:14" x14ac:dyDescent="0.2">
      <c r="J117" s="116"/>
      <c r="K117" s="114"/>
      <c r="M117" s="117"/>
      <c r="N117" s="114"/>
    </row>
    <row r="118" spans="10:14" x14ac:dyDescent="0.2">
      <c r="J118" s="116"/>
      <c r="K118" s="114"/>
      <c r="M118" s="117"/>
      <c r="N118" s="114"/>
    </row>
    <row r="119" spans="10:14" x14ac:dyDescent="0.2">
      <c r="J119" s="116"/>
      <c r="K119" s="114"/>
      <c r="M119" s="117"/>
      <c r="N119" s="114"/>
    </row>
    <row r="120" spans="10:14" x14ac:dyDescent="0.2">
      <c r="J120" s="116"/>
      <c r="K120" s="114"/>
      <c r="M120" s="117"/>
      <c r="N120" s="114"/>
    </row>
    <row r="121" spans="10:14" x14ac:dyDescent="0.2">
      <c r="J121" s="116"/>
      <c r="K121" s="114"/>
      <c r="M121" s="117"/>
      <c r="N121" s="114"/>
    </row>
    <row r="122" spans="10:14" x14ac:dyDescent="0.2">
      <c r="J122" s="116"/>
      <c r="K122" s="114"/>
      <c r="M122" s="117"/>
      <c r="N122" s="114"/>
    </row>
    <row r="123" spans="10:14" x14ac:dyDescent="0.2">
      <c r="J123" s="116"/>
      <c r="K123" s="114"/>
      <c r="M123" s="117"/>
      <c r="N123" s="114"/>
    </row>
    <row r="124" spans="10:14" x14ac:dyDescent="0.2">
      <c r="J124" s="116"/>
      <c r="K124" s="114"/>
      <c r="M124" s="117"/>
      <c r="N124" s="114"/>
    </row>
    <row r="125" spans="10:14" x14ac:dyDescent="0.2">
      <c r="J125" s="116"/>
      <c r="K125" s="114"/>
      <c r="M125" s="117"/>
      <c r="N125" s="114"/>
    </row>
    <row r="126" spans="10:14" x14ac:dyDescent="0.2">
      <c r="J126" s="116"/>
      <c r="K126" s="114"/>
      <c r="M126" s="117"/>
      <c r="N126" s="114"/>
    </row>
    <row r="127" spans="10:14" x14ac:dyDescent="0.2">
      <c r="J127" s="116"/>
      <c r="K127" s="114"/>
      <c r="M127" s="117"/>
      <c r="N127" s="114"/>
    </row>
    <row r="128" spans="10:14" x14ac:dyDescent="0.2">
      <c r="J128" s="116"/>
      <c r="K128" s="114"/>
      <c r="M128" s="117"/>
      <c r="N128" s="114"/>
    </row>
    <row r="129" spans="10:14" x14ac:dyDescent="0.2">
      <c r="J129" s="116"/>
      <c r="K129" s="114"/>
      <c r="M129" s="117"/>
      <c r="N129" s="114"/>
    </row>
    <row r="130" spans="10:14" x14ac:dyDescent="0.2">
      <c r="J130" s="116"/>
      <c r="K130" s="114"/>
      <c r="M130" s="117"/>
      <c r="N130" s="114"/>
    </row>
    <row r="131" spans="10:14" x14ac:dyDescent="0.2">
      <c r="J131" s="116"/>
      <c r="K131" s="114"/>
      <c r="M131" s="117"/>
      <c r="N131" s="114"/>
    </row>
    <row r="132" spans="10:14" x14ac:dyDescent="0.2">
      <c r="J132" s="116"/>
      <c r="K132" s="114"/>
      <c r="M132" s="117"/>
      <c r="N132" s="114"/>
    </row>
    <row r="133" spans="10:14" x14ac:dyDescent="0.2">
      <c r="J133" s="116"/>
      <c r="K133" s="114"/>
      <c r="M133" s="117"/>
      <c r="N133" s="114"/>
    </row>
    <row r="134" spans="10:14" x14ac:dyDescent="0.2">
      <c r="J134" s="116"/>
      <c r="K134" s="114"/>
      <c r="M134" s="117"/>
      <c r="N134" s="114"/>
    </row>
    <row r="135" spans="10:14" x14ac:dyDescent="0.2">
      <c r="J135" s="116"/>
      <c r="K135" s="114"/>
      <c r="M135" s="117"/>
      <c r="N135" s="114"/>
    </row>
    <row r="136" spans="10:14" x14ac:dyDescent="0.2">
      <c r="J136" s="116"/>
      <c r="K136" s="114"/>
      <c r="M136" s="117"/>
      <c r="N136" s="114"/>
    </row>
    <row r="137" spans="10:14" x14ac:dyDescent="0.2">
      <c r="J137" s="116"/>
      <c r="K137" s="114"/>
      <c r="M137" s="117"/>
      <c r="N137" s="114"/>
    </row>
    <row r="138" spans="10:14" x14ac:dyDescent="0.2">
      <c r="J138" s="116"/>
      <c r="K138" s="114"/>
      <c r="M138" s="117"/>
      <c r="N138" s="114"/>
    </row>
    <row r="139" spans="10:14" x14ac:dyDescent="0.2">
      <c r="J139" s="116"/>
      <c r="K139" s="114"/>
      <c r="M139" s="117"/>
      <c r="N139" s="114"/>
    </row>
    <row r="140" spans="10:14" x14ac:dyDescent="0.2">
      <c r="J140" s="116"/>
      <c r="K140" s="114"/>
      <c r="M140" s="117"/>
      <c r="N140" s="114"/>
    </row>
    <row r="141" spans="10:14" x14ac:dyDescent="0.2">
      <c r="J141" s="116"/>
      <c r="K141" s="114"/>
      <c r="M141" s="117"/>
      <c r="N141" s="114"/>
    </row>
    <row r="142" spans="10:14" x14ac:dyDescent="0.2">
      <c r="J142" s="116"/>
      <c r="K142" s="114"/>
      <c r="M142" s="117"/>
      <c r="N142" s="114"/>
    </row>
    <row r="143" spans="10:14" x14ac:dyDescent="0.2">
      <c r="J143" s="116"/>
      <c r="K143" s="114"/>
      <c r="M143" s="117"/>
      <c r="N143" s="114"/>
    </row>
    <row r="144" spans="10:14" x14ac:dyDescent="0.2">
      <c r="J144" s="116"/>
      <c r="K144" s="114"/>
      <c r="M144" s="117"/>
      <c r="N144" s="114"/>
    </row>
    <row r="145" spans="10:14" x14ac:dyDescent="0.2">
      <c r="J145" s="116"/>
      <c r="K145" s="114"/>
      <c r="M145" s="117"/>
      <c r="N145" s="114"/>
    </row>
    <row r="146" spans="10:14" x14ac:dyDescent="0.2">
      <c r="J146" s="116"/>
      <c r="K146" s="114"/>
      <c r="M146" s="117"/>
      <c r="N146" s="114"/>
    </row>
    <row r="147" spans="10:14" x14ac:dyDescent="0.2">
      <c r="J147" s="116"/>
      <c r="K147" s="114"/>
      <c r="M147" s="117"/>
      <c r="N147" s="114"/>
    </row>
    <row r="148" spans="10:14" x14ac:dyDescent="0.2">
      <c r="J148" s="116"/>
      <c r="K148" s="114"/>
      <c r="M148" s="117"/>
      <c r="N148" s="114"/>
    </row>
    <row r="149" spans="10:14" x14ac:dyDescent="0.2">
      <c r="J149" s="116"/>
      <c r="K149" s="114"/>
      <c r="M149" s="117"/>
      <c r="N149" s="114"/>
    </row>
    <row r="150" spans="10:14" x14ac:dyDescent="0.2">
      <c r="J150" s="116"/>
      <c r="K150" s="114"/>
      <c r="M150" s="117"/>
      <c r="N150" s="114"/>
    </row>
    <row r="151" spans="10:14" x14ac:dyDescent="0.2">
      <c r="J151" s="116"/>
      <c r="K151" s="114"/>
      <c r="M151" s="117"/>
      <c r="N151" s="114"/>
    </row>
    <row r="152" spans="10:14" x14ac:dyDescent="0.2">
      <c r="J152" s="116"/>
      <c r="K152" s="114"/>
      <c r="M152" s="117"/>
      <c r="N152" s="114"/>
    </row>
    <row r="153" spans="10:14" x14ac:dyDescent="0.2">
      <c r="J153" s="116"/>
      <c r="K153" s="114"/>
      <c r="M153" s="117"/>
      <c r="N153" s="114"/>
    </row>
    <row r="154" spans="10:14" x14ac:dyDescent="0.2">
      <c r="J154" s="116"/>
      <c r="K154" s="114"/>
      <c r="M154" s="117"/>
      <c r="N154" s="114"/>
    </row>
    <row r="155" spans="10:14" x14ac:dyDescent="0.2">
      <c r="J155" s="116"/>
      <c r="K155" s="114"/>
      <c r="M155" s="117"/>
      <c r="N155" s="114"/>
    </row>
    <row r="156" spans="10:14" x14ac:dyDescent="0.2">
      <c r="J156" s="116"/>
      <c r="K156" s="114"/>
      <c r="M156" s="117"/>
      <c r="N156" s="114"/>
    </row>
    <row r="157" spans="10:14" x14ac:dyDescent="0.2">
      <c r="J157" s="116"/>
      <c r="K157" s="114"/>
      <c r="M157" s="117"/>
      <c r="N157" s="114"/>
    </row>
    <row r="158" spans="10:14" x14ac:dyDescent="0.2">
      <c r="J158" s="116"/>
      <c r="K158" s="114"/>
      <c r="M158" s="117"/>
      <c r="N158" s="114"/>
    </row>
    <row r="159" spans="10:14" x14ac:dyDescent="0.2">
      <c r="J159" s="116"/>
      <c r="K159" s="114"/>
      <c r="M159" s="117"/>
      <c r="N159" s="114"/>
    </row>
    <row r="160" spans="10:14" x14ac:dyDescent="0.2">
      <c r="J160" s="116"/>
      <c r="K160" s="114"/>
      <c r="M160" s="117"/>
      <c r="N160" s="114"/>
    </row>
    <row r="161" spans="10:14" x14ac:dyDescent="0.2">
      <c r="J161" s="116"/>
      <c r="K161" s="114"/>
      <c r="M161" s="117"/>
      <c r="N161" s="114"/>
    </row>
    <row r="162" spans="10:14" x14ac:dyDescent="0.2">
      <c r="J162" s="116"/>
      <c r="K162" s="114"/>
      <c r="M162" s="117"/>
      <c r="N162" s="114"/>
    </row>
    <row r="163" spans="10:14" x14ac:dyDescent="0.2">
      <c r="J163" s="116"/>
      <c r="K163" s="114"/>
      <c r="M163" s="117"/>
      <c r="N163" s="114"/>
    </row>
    <row r="164" spans="10:14" x14ac:dyDescent="0.2">
      <c r="J164" s="116"/>
      <c r="K164" s="114"/>
      <c r="M164" s="117"/>
      <c r="N164" s="114"/>
    </row>
    <row r="165" spans="10:14" x14ac:dyDescent="0.2">
      <c r="J165" s="116"/>
      <c r="K165" s="114"/>
      <c r="M165" s="117"/>
      <c r="N165" s="114"/>
    </row>
    <row r="166" spans="10:14" x14ac:dyDescent="0.2">
      <c r="J166" s="116"/>
      <c r="K166" s="114"/>
      <c r="M166" s="117"/>
      <c r="N166" s="114"/>
    </row>
    <row r="167" spans="10:14" x14ac:dyDescent="0.2">
      <c r="J167" s="116"/>
      <c r="K167" s="114"/>
      <c r="M167" s="117"/>
      <c r="N167" s="114"/>
    </row>
    <row r="168" spans="10:14" x14ac:dyDescent="0.2">
      <c r="J168" s="116"/>
      <c r="K168" s="114"/>
      <c r="M168" s="117"/>
      <c r="N168" s="114"/>
    </row>
    <row r="169" spans="10:14" x14ac:dyDescent="0.2">
      <c r="J169" s="116"/>
      <c r="K169" s="114"/>
      <c r="M169" s="117"/>
      <c r="N169" s="114"/>
    </row>
    <row r="170" spans="10:14" x14ac:dyDescent="0.2">
      <c r="J170" s="116"/>
      <c r="K170" s="114"/>
      <c r="M170" s="117"/>
      <c r="N170" s="114"/>
    </row>
    <row r="171" spans="10:14" x14ac:dyDescent="0.2">
      <c r="J171" s="116"/>
      <c r="K171" s="114"/>
      <c r="M171" s="117"/>
      <c r="N171" s="114"/>
    </row>
    <row r="172" spans="10:14" x14ac:dyDescent="0.2">
      <c r="J172" s="116"/>
      <c r="K172" s="114"/>
      <c r="M172" s="117"/>
      <c r="N172" s="114"/>
    </row>
    <row r="173" spans="10:14" x14ac:dyDescent="0.2">
      <c r="J173" s="116"/>
      <c r="K173" s="114"/>
      <c r="M173" s="117"/>
      <c r="N173" s="114"/>
    </row>
    <row r="174" spans="10:14" x14ac:dyDescent="0.2">
      <c r="J174" s="116"/>
      <c r="K174" s="114"/>
      <c r="M174" s="117"/>
      <c r="N174" s="114"/>
    </row>
    <row r="175" spans="10:14" x14ac:dyDescent="0.2">
      <c r="J175" s="116"/>
      <c r="K175" s="114"/>
      <c r="M175" s="117"/>
      <c r="N175" s="114"/>
    </row>
    <row r="176" spans="10:14" x14ac:dyDescent="0.2">
      <c r="J176" s="116"/>
      <c r="K176" s="114"/>
      <c r="M176" s="117"/>
      <c r="N176" s="114"/>
    </row>
    <row r="177" spans="10:14" x14ac:dyDescent="0.2">
      <c r="J177" s="116"/>
      <c r="K177" s="114"/>
      <c r="M177" s="117"/>
      <c r="N177" s="114"/>
    </row>
    <row r="178" spans="10:14" x14ac:dyDescent="0.2">
      <c r="J178" s="116"/>
      <c r="K178" s="114"/>
      <c r="M178" s="117"/>
      <c r="N178" s="114"/>
    </row>
    <row r="179" spans="10:14" x14ac:dyDescent="0.2">
      <c r="J179" s="116"/>
      <c r="K179" s="114"/>
      <c r="M179" s="117"/>
      <c r="N179" s="114"/>
    </row>
    <row r="180" spans="10:14" x14ac:dyDescent="0.2">
      <c r="J180" s="116"/>
      <c r="K180" s="114"/>
      <c r="M180" s="117"/>
      <c r="N180" s="114"/>
    </row>
    <row r="181" spans="10:14" x14ac:dyDescent="0.2">
      <c r="J181" s="116"/>
      <c r="K181" s="114"/>
      <c r="M181" s="117"/>
      <c r="N181" s="114"/>
    </row>
    <row r="182" spans="10:14" x14ac:dyDescent="0.2">
      <c r="J182" s="116"/>
      <c r="K182" s="114"/>
      <c r="M182" s="117"/>
      <c r="N182" s="114"/>
    </row>
    <row r="183" spans="10:14" x14ac:dyDescent="0.2">
      <c r="J183" s="116"/>
      <c r="K183" s="114"/>
      <c r="M183" s="117"/>
      <c r="N183" s="114"/>
    </row>
    <row r="184" spans="10:14" x14ac:dyDescent="0.2">
      <c r="J184" s="116"/>
      <c r="K184" s="114"/>
      <c r="M184" s="117"/>
      <c r="N184" s="114"/>
    </row>
    <row r="185" spans="10:14" x14ac:dyDescent="0.2">
      <c r="J185" s="116"/>
      <c r="K185" s="114"/>
      <c r="M185" s="117"/>
      <c r="N185" s="114"/>
    </row>
    <row r="186" spans="10:14" x14ac:dyDescent="0.2">
      <c r="J186" s="116"/>
      <c r="K186" s="114"/>
      <c r="M186" s="117"/>
      <c r="N186" s="114"/>
    </row>
    <row r="187" spans="10:14" x14ac:dyDescent="0.2">
      <c r="J187" s="116"/>
      <c r="K187" s="114"/>
      <c r="M187" s="117"/>
      <c r="N187" s="114"/>
    </row>
    <row r="188" spans="10:14" x14ac:dyDescent="0.2">
      <c r="J188" s="116"/>
      <c r="K188" s="114"/>
      <c r="M188" s="117"/>
      <c r="N188" s="114"/>
    </row>
    <row r="189" spans="10:14" x14ac:dyDescent="0.2">
      <c r="J189" s="116"/>
      <c r="K189" s="114"/>
      <c r="M189" s="117"/>
      <c r="N189" s="114"/>
    </row>
    <row r="190" spans="10:14" x14ac:dyDescent="0.2">
      <c r="J190" s="116"/>
      <c r="K190" s="114"/>
      <c r="M190" s="117"/>
      <c r="N190" s="114"/>
    </row>
    <row r="191" spans="10:14" x14ac:dyDescent="0.2">
      <c r="J191" s="116"/>
      <c r="K191" s="114"/>
      <c r="M191" s="117"/>
      <c r="N191" s="114"/>
    </row>
    <row r="192" spans="10:14" x14ac:dyDescent="0.2">
      <c r="J192" s="116"/>
      <c r="K192" s="114"/>
      <c r="M192" s="117"/>
      <c r="N192" s="114"/>
    </row>
    <row r="193" spans="10:14" x14ac:dyDescent="0.2">
      <c r="J193" s="116"/>
      <c r="K193" s="114"/>
      <c r="M193" s="117"/>
      <c r="N193" s="114"/>
    </row>
    <row r="194" spans="10:14" x14ac:dyDescent="0.2">
      <c r="J194" s="116"/>
      <c r="K194" s="114"/>
      <c r="M194" s="117"/>
      <c r="N194" s="114"/>
    </row>
    <row r="195" spans="10:14" x14ac:dyDescent="0.2">
      <c r="J195" s="116"/>
      <c r="K195" s="114"/>
      <c r="M195" s="117"/>
      <c r="N195" s="114"/>
    </row>
    <row r="196" spans="10:14" x14ac:dyDescent="0.2">
      <c r="J196" s="116"/>
      <c r="K196" s="114"/>
      <c r="M196" s="117"/>
      <c r="N196" s="114"/>
    </row>
    <row r="197" spans="10:14" x14ac:dyDescent="0.2">
      <c r="J197" s="116"/>
      <c r="K197" s="114"/>
      <c r="M197" s="117"/>
      <c r="N197" s="114"/>
    </row>
    <row r="198" spans="10:14" x14ac:dyDescent="0.2">
      <c r="J198" s="116"/>
      <c r="K198" s="114"/>
      <c r="M198" s="117"/>
      <c r="N198" s="114"/>
    </row>
    <row r="199" spans="10:14" x14ac:dyDescent="0.2">
      <c r="J199" s="116"/>
      <c r="K199" s="114"/>
      <c r="M199" s="117"/>
      <c r="N199" s="114"/>
    </row>
    <row r="200" spans="10:14" x14ac:dyDescent="0.2">
      <c r="J200" s="116"/>
      <c r="K200" s="114"/>
      <c r="M200" s="117"/>
      <c r="N200" s="114"/>
    </row>
    <row r="201" spans="10:14" x14ac:dyDescent="0.2">
      <c r="J201" s="116"/>
      <c r="K201" s="114"/>
      <c r="M201" s="117"/>
      <c r="N201" s="114"/>
    </row>
    <row r="202" spans="10:14" x14ac:dyDescent="0.2">
      <c r="J202" s="116"/>
      <c r="K202" s="114"/>
      <c r="M202" s="117"/>
      <c r="N202" s="114"/>
    </row>
    <row r="203" spans="10:14" x14ac:dyDescent="0.2">
      <c r="J203" s="116"/>
      <c r="K203" s="114"/>
      <c r="M203" s="117"/>
      <c r="N203" s="114"/>
    </row>
    <row r="204" spans="10:14" x14ac:dyDescent="0.2">
      <c r="J204" s="116"/>
      <c r="K204" s="114"/>
      <c r="M204" s="117"/>
      <c r="N204" s="114"/>
    </row>
    <row r="205" spans="10:14" x14ac:dyDescent="0.2">
      <c r="J205" s="116"/>
      <c r="K205" s="114"/>
      <c r="M205" s="117"/>
      <c r="N205" s="114"/>
    </row>
    <row r="206" spans="10:14" x14ac:dyDescent="0.2">
      <c r="J206" s="116"/>
      <c r="K206" s="114"/>
      <c r="M206" s="117"/>
      <c r="N206" s="114"/>
    </row>
    <row r="207" spans="10:14" x14ac:dyDescent="0.2">
      <c r="J207" s="116"/>
      <c r="K207" s="114"/>
      <c r="M207" s="117"/>
      <c r="N207" s="114"/>
    </row>
    <row r="208" spans="10:14" x14ac:dyDescent="0.2">
      <c r="J208" s="116"/>
      <c r="K208" s="114"/>
      <c r="M208" s="117"/>
      <c r="N208" s="114"/>
    </row>
    <row r="209" spans="10:14" x14ac:dyDescent="0.2">
      <c r="J209" s="116"/>
      <c r="K209" s="114"/>
      <c r="M209" s="117"/>
      <c r="N209" s="114"/>
    </row>
    <row r="210" spans="10:14" x14ac:dyDescent="0.2">
      <c r="J210" s="116"/>
      <c r="K210" s="114"/>
      <c r="M210" s="117"/>
      <c r="N210" s="114"/>
    </row>
    <row r="211" spans="10:14" x14ac:dyDescent="0.2">
      <c r="J211" s="116"/>
      <c r="K211" s="114"/>
      <c r="M211" s="117"/>
      <c r="N211" s="114"/>
    </row>
    <row r="212" spans="10:14" x14ac:dyDescent="0.2">
      <c r="J212" s="116"/>
      <c r="K212" s="114"/>
      <c r="M212" s="117"/>
      <c r="N212" s="114"/>
    </row>
    <row r="213" spans="10:14" x14ac:dyDescent="0.2">
      <c r="J213" s="116"/>
      <c r="K213" s="114"/>
      <c r="M213" s="117"/>
      <c r="N213" s="114"/>
    </row>
    <row r="214" spans="10:14" x14ac:dyDescent="0.2">
      <c r="J214" s="116"/>
      <c r="K214" s="114"/>
      <c r="M214" s="117"/>
      <c r="N214" s="114"/>
    </row>
    <row r="215" spans="10:14" x14ac:dyDescent="0.2">
      <c r="J215" s="116"/>
      <c r="K215" s="114"/>
      <c r="M215" s="117"/>
      <c r="N215" s="114"/>
    </row>
    <row r="216" spans="10:14" x14ac:dyDescent="0.2">
      <c r="J216" s="116"/>
      <c r="K216" s="114"/>
      <c r="M216" s="117"/>
      <c r="N216" s="114"/>
    </row>
    <row r="217" spans="10:14" x14ac:dyDescent="0.2">
      <c r="J217" s="116"/>
      <c r="K217" s="114"/>
      <c r="M217" s="117"/>
      <c r="N217" s="114"/>
    </row>
    <row r="218" spans="10:14" x14ac:dyDescent="0.2">
      <c r="J218" s="116"/>
      <c r="K218" s="114"/>
      <c r="M218" s="117"/>
      <c r="N218" s="114"/>
    </row>
    <row r="219" spans="10:14" x14ac:dyDescent="0.2">
      <c r="J219" s="116"/>
      <c r="K219" s="114"/>
      <c r="M219" s="117"/>
      <c r="N219" s="114"/>
    </row>
    <row r="220" spans="10:14" x14ac:dyDescent="0.2">
      <c r="J220" s="116"/>
      <c r="K220" s="114"/>
      <c r="M220" s="117"/>
      <c r="N220" s="114"/>
    </row>
    <row r="221" spans="10:14" x14ac:dyDescent="0.2">
      <c r="J221" s="116"/>
      <c r="K221" s="114"/>
      <c r="M221" s="117"/>
      <c r="N221" s="114"/>
    </row>
    <row r="222" spans="10:14" x14ac:dyDescent="0.2">
      <c r="J222" s="116"/>
      <c r="K222" s="114"/>
      <c r="M222" s="117"/>
      <c r="N222" s="114"/>
    </row>
    <row r="223" spans="10:14" x14ac:dyDescent="0.2">
      <c r="J223" s="116"/>
      <c r="K223" s="114"/>
      <c r="M223" s="117"/>
      <c r="N223" s="114"/>
    </row>
    <row r="224" spans="10:14" x14ac:dyDescent="0.2">
      <c r="J224" s="116"/>
      <c r="K224" s="114"/>
      <c r="M224" s="117"/>
      <c r="N224" s="114"/>
    </row>
    <row r="225" spans="10:14" x14ac:dyDescent="0.2">
      <c r="J225" s="116"/>
      <c r="K225" s="114"/>
      <c r="M225" s="117"/>
      <c r="N225" s="114"/>
    </row>
    <row r="226" spans="10:14" x14ac:dyDescent="0.2">
      <c r="J226" s="116"/>
      <c r="K226" s="114"/>
      <c r="M226" s="117"/>
      <c r="N226" s="114"/>
    </row>
    <row r="227" spans="10:14" x14ac:dyDescent="0.2">
      <c r="J227" s="116"/>
      <c r="K227" s="114"/>
      <c r="M227" s="117"/>
      <c r="N227" s="114"/>
    </row>
    <row r="228" spans="10:14" x14ac:dyDescent="0.2">
      <c r="J228" s="116"/>
      <c r="K228" s="114"/>
      <c r="M228" s="117"/>
      <c r="N228" s="114"/>
    </row>
    <row r="229" spans="10:14" x14ac:dyDescent="0.2">
      <c r="J229" s="116"/>
      <c r="K229" s="114"/>
      <c r="M229" s="117"/>
      <c r="N229" s="114"/>
    </row>
    <row r="230" spans="10:14" x14ac:dyDescent="0.2">
      <c r="J230" s="116"/>
      <c r="K230" s="114"/>
      <c r="M230" s="117"/>
      <c r="N230" s="114"/>
    </row>
    <row r="231" spans="10:14" x14ac:dyDescent="0.2">
      <c r="J231" s="116"/>
      <c r="K231" s="114"/>
      <c r="M231" s="117"/>
      <c r="N231" s="114"/>
    </row>
    <row r="232" spans="10:14" x14ac:dyDescent="0.2">
      <c r="J232" s="116"/>
      <c r="K232" s="114"/>
      <c r="M232" s="117"/>
      <c r="N232" s="114"/>
    </row>
    <row r="233" spans="10:14" x14ac:dyDescent="0.2">
      <c r="J233" s="116"/>
      <c r="K233" s="114"/>
      <c r="M233" s="117"/>
      <c r="N233" s="114"/>
    </row>
    <row r="234" spans="10:14" x14ac:dyDescent="0.2">
      <c r="J234" s="116"/>
      <c r="K234" s="114"/>
      <c r="M234" s="117"/>
      <c r="N234" s="114"/>
    </row>
    <row r="235" spans="10:14" x14ac:dyDescent="0.2">
      <c r="J235" s="116"/>
      <c r="K235" s="114"/>
      <c r="M235" s="117"/>
      <c r="N235" s="114"/>
    </row>
    <row r="236" spans="10:14" x14ac:dyDescent="0.2">
      <c r="J236" s="116"/>
      <c r="K236" s="114"/>
      <c r="M236" s="117"/>
      <c r="N236" s="114"/>
    </row>
    <row r="237" spans="10:14" x14ac:dyDescent="0.2">
      <c r="J237" s="116"/>
      <c r="K237" s="114"/>
      <c r="M237" s="117"/>
      <c r="N237" s="114"/>
    </row>
    <row r="238" spans="10:14" x14ac:dyDescent="0.2">
      <c r="J238" s="116"/>
      <c r="K238" s="114"/>
      <c r="M238" s="117"/>
      <c r="N238" s="114"/>
    </row>
    <row r="239" spans="10:14" x14ac:dyDescent="0.2">
      <c r="J239" s="116"/>
      <c r="K239" s="114"/>
      <c r="M239" s="117"/>
      <c r="N239" s="114"/>
    </row>
    <row r="240" spans="10:14" x14ac:dyDescent="0.2">
      <c r="J240" s="116"/>
      <c r="K240" s="114"/>
      <c r="M240" s="117"/>
      <c r="N240" s="114"/>
    </row>
    <row r="241" spans="10:14" x14ac:dyDescent="0.2">
      <c r="J241" s="116"/>
      <c r="K241" s="114"/>
      <c r="M241" s="117"/>
      <c r="N241" s="114"/>
    </row>
    <row r="242" spans="10:14" x14ac:dyDescent="0.2">
      <c r="J242" s="116"/>
      <c r="K242" s="114"/>
      <c r="M242" s="117"/>
      <c r="N242" s="114"/>
    </row>
    <row r="243" spans="10:14" x14ac:dyDescent="0.2">
      <c r="J243" s="116"/>
      <c r="K243" s="114"/>
      <c r="M243" s="117"/>
      <c r="N243" s="114"/>
    </row>
    <row r="244" spans="10:14" x14ac:dyDescent="0.2">
      <c r="J244" s="116"/>
      <c r="K244" s="114"/>
      <c r="M244" s="117"/>
      <c r="N244" s="114"/>
    </row>
    <row r="245" spans="10:14" x14ac:dyDescent="0.2">
      <c r="J245" s="116"/>
      <c r="K245" s="114"/>
      <c r="M245" s="117"/>
      <c r="N245" s="114"/>
    </row>
    <row r="246" spans="10:14" x14ac:dyDescent="0.2">
      <c r="J246" s="116"/>
      <c r="K246" s="114"/>
      <c r="M246" s="117"/>
      <c r="N246" s="114"/>
    </row>
    <row r="247" spans="10:14" x14ac:dyDescent="0.2">
      <c r="J247" s="116"/>
      <c r="K247" s="114"/>
      <c r="M247" s="117"/>
      <c r="N247" s="114"/>
    </row>
    <row r="248" spans="10:14" x14ac:dyDescent="0.2">
      <c r="J248" s="116"/>
      <c r="K248" s="114"/>
      <c r="M248" s="117"/>
      <c r="N248" s="114"/>
    </row>
    <row r="249" spans="10:14" x14ac:dyDescent="0.2">
      <c r="J249" s="116"/>
      <c r="K249" s="114"/>
      <c r="M249" s="117"/>
      <c r="N249" s="114"/>
    </row>
    <row r="250" spans="10:14" x14ac:dyDescent="0.2">
      <c r="J250" s="116"/>
      <c r="K250" s="114"/>
      <c r="M250" s="117"/>
      <c r="N250" s="114"/>
    </row>
    <row r="251" spans="10:14" x14ac:dyDescent="0.2">
      <c r="J251" s="116"/>
      <c r="K251" s="114"/>
      <c r="M251" s="117"/>
      <c r="N251" s="114"/>
    </row>
    <row r="252" spans="10:14" x14ac:dyDescent="0.2">
      <c r="J252" s="116"/>
      <c r="K252" s="114"/>
      <c r="M252" s="117"/>
      <c r="N252" s="114"/>
    </row>
    <row r="253" spans="10:14" x14ac:dyDescent="0.2">
      <c r="J253" s="116"/>
      <c r="K253" s="114"/>
      <c r="M253" s="117"/>
      <c r="N253" s="114"/>
    </row>
    <row r="254" spans="10:14" x14ac:dyDescent="0.2">
      <c r="J254" s="116"/>
      <c r="K254" s="114"/>
      <c r="M254" s="117"/>
      <c r="N254" s="114"/>
    </row>
    <row r="255" spans="10:14" x14ac:dyDescent="0.2">
      <c r="J255" s="116"/>
      <c r="K255" s="114"/>
      <c r="M255" s="117"/>
      <c r="N255" s="114"/>
    </row>
    <row r="256" spans="10:14" x14ac:dyDescent="0.2">
      <c r="J256" s="116"/>
      <c r="K256" s="114"/>
      <c r="M256" s="117"/>
      <c r="N256" s="114"/>
    </row>
    <row r="257" spans="10:14" x14ac:dyDescent="0.2">
      <c r="J257" s="116"/>
      <c r="K257" s="114"/>
      <c r="M257" s="117"/>
      <c r="N257" s="114"/>
    </row>
    <row r="258" spans="10:14" x14ac:dyDescent="0.2">
      <c r="J258" s="116"/>
      <c r="K258" s="114"/>
      <c r="M258" s="117"/>
      <c r="N258" s="114"/>
    </row>
    <row r="259" spans="10:14" x14ac:dyDescent="0.2">
      <c r="J259" s="116"/>
      <c r="K259" s="114"/>
      <c r="M259" s="117"/>
      <c r="N259" s="114"/>
    </row>
    <row r="260" spans="10:14" x14ac:dyDescent="0.2">
      <c r="J260" s="116"/>
      <c r="K260" s="114"/>
      <c r="M260" s="117"/>
      <c r="N260" s="114"/>
    </row>
    <row r="261" spans="10:14" x14ac:dyDescent="0.2">
      <c r="J261" s="116"/>
      <c r="K261" s="114"/>
      <c r="M261" s="117"/>
      <c r="N261" s="114"/>
    </row>
    <row r="262" spans="10:14" x14ac:dyDescent="0.2">
      <c r="J262" s="116"/>
      <c r="K262" s="114"/>
      <c r="M262" s="117"/>
      <c r="N262" s="114"/>
    </row>
    <row r="263" spans="10:14" x14ac:dyDescent="0.2">
      <c r="J263" s="116"/>
      <c r="K263" s="114"/>
      <c r="M263" s="117"/>
      <c r="N263" s="114"/>
    </row>
    <row r="264" spans="10:14" x14ac:dyDescent="0.2">
      <c r="J264" s="116"/>
      <c r="K264" s="114"/>
      <c r="M264" s="117"/>
      <c r="N264" s="114"/>
    </row>
    <row r="265" spans="10:14" x14ac:dyDescent="0.2">
      <c r="J265" s="116"/>
      <c r="K265" s="114"/>
      <c r="M265" s="117"/>
      <c r="N265" s="114"/>
    </row>
    <row r="266" spans="10:14" x14ac:dyDescent="0.2">
      <c r="J266" s="116"/>
      <c r="K266" s="114"/>
      <c r="M266" s="117"/>
      <c r="N266" s="114"/>
    </row>
    <row r="267" spans="10:14" x14ac:dyDescent="0.2">
      <c r="J267" s="116"/>
      <c r="K267" s="114"/>
      <c r="M267" s="117"/>
      <c r="N267" s="114"/>
    </row>
    <row r="268" spans="10:14" x14ac:dyDescent="0.2">
      <c r="J268" s="116"/>
      <c r="K268" s="114"/>
      <c r="M268" s="117"/>
      <c r="N268" s="114"/>
    </row>
    <row r="269" spans="10:14" x14ac:dyDescent="0.2">
      <c r="J269" s="116"/>
      <c r="K269" s="114"/>
      <c r="M269" s="117"/>
      <c r="N269" s="114"/>
    </row>
    <row r="270" spans="10:14" x14ac:dyDescent="0.2">
      <c r="J270" s="116"/>
      <c r="K270" s="114"/>
      <c r="M270" s="117"/>
      <c r="N270" s="114"/>
    </row>
    <row r="271" spans="10:14" x14ac:dyDescent="0.2">
      <c r="J271" s="116"/>
      <c r="K271" s="114"/>
      <c r="M271" s="117"/>
      <c r="N271" s="114"/>
    </row>
    <row r="272" spans="10:14" x14ac:dyDescent="0.2">
      <c r="J272" s="116"/>
      <c r="K272" s="114"/>
      <c r="M272" s="117"/>
      <c r="N272" s="114"/>
    </row>
    <row r="273" spans="10:14" x14ac:dyDescent="0.2">
      <c r="J273" s="116"/>
      <c r="K273" s="114"/>
      <c r="M273" s="117"/>
      <c r="N273" s="114"/>
    </row>
    <row r="274" spans="10:14" x14ac:dyDescent="0.2">
      <c r="J274" s="116"/>
      <c r="K274" s="114"/>
      <c r="M274" s="117"/>
      <c r="N274" s="114"/>
    </row>
    <row r="275" spans="10:14" x14ac:dyDescent="0.2">
      <c r="J275" s="116"/>
      <c r="K275" s="114"/>
      <c r="M275" s="117"/>
      <c r="N275" s="114"/>
    </row>
    <row r="276" spans="10:14" x14ac:dyDescent="0.2">
      <c r="J276" s="116"/>
      <c r="K276" s="114"/>
      <c r="M276" s="117"/>
      <c r="N276" s="114"/>
    </row>
    <row r="277" spans="10:14" x14ac:dyDescent="0.2">
      <c r="J277" s="116"/>
      <c r="K277" s="114"/>
      <c r="M277" s="117"/>
      <c r="N277" s="114"/>
    </row>
    <row r="278" spans="10:14" x14ac:dyDescent="0.2">
      <c r="J278" s="116"/>
      <c r="K278" s="114"/>
      <c r="M278" s="117"/>
      <c r="N278" s="114"/>
    </row>
    <row r="279" spans="10:14" x14ac:dyDescent="0.2">
      <c r="J279" s="116"/>
      <c r="K279" s="114"/>
      <c r="M279" s="117"/>
      <c r="N279" s="114"/>
    </row>
    <row r="280" spans="10:14" x14ac:dyDescent="0.2">
      <c r="J280" s="116"/>
      <c r="K280" s="114"/>
      <c r="M280" s="117"/>
      <c r="N280" s="114"/>
    </row>
    <row r="281" spans="10:14" x14ac:dyDescent="0.2">
      <c r="J281" s="116"/>
      <c r="K281" s="114"/>
      <c r="M281" s="117"/>
      <c r="N281" s="114"/>
    </row>
    <row r="282" spans="10:14" x14ac:dyDescent="0.2">
      <c r="J282" s="116"/>
      <c r="K282" s="114"/>
      <c r="M282" s="117"/>
      <c r="N282" s="114"/>
    </row>
    <row r="283" spans="10:14" x14ac:dyDescent="0.2">
      <c r="J283" s="116"/>
      <c r="K283" s="114"/>
      <c r="M283" s="117"/>
      <c r="N283" s="114"/>
    </row>
    <row r="284" spans="10:14" x14ac:dyDescent="0.2">
      <c r="J284" s="116"/>
      <c r="K284" s="114"/>
      <c r="M284" s="117"/>
      <c r="N284" s="114"/>
    </row>
    <row r="285" spans="10:14" x14ac:dyDescent="0.2">
      <c r="J285" s="116"/>
      <c r="K285" s="114"/>
      <c r="M285" s="117"/>
      <c r="N285" s="114"/>
    </row>
    <row r="286" spans="10:14" x14ac:dyDescent="0.2">
      <c r="J286" s="116"/>
      <c r="K286" s="114"/>
      <c r="M286" s="117"/>
      <c r="N286" s="114"/>
    </row>
    <row r="287" spans="10:14" x14ac:dyDescent="0.2">
      <c r="J287" s="116"/>
      <c r="K287" s="114"/>
      <c r="M287" s="117"/>
      <c r="N287" s="114"/>
    </row>
    <row r="288" spans="10:14" x14ac:dyDescent="0.2">
      <c r="J288" s="116"/>
      <c r="K288" s="114"/>
      <c r="M288" s="117"/>
      <c r="N288" s="114"/>
    </row>
    <row r="289" spans="10:14" x14ac:dyDescent="0.2">
      <c r="J289" s="116"/>
      <c r="K289" s="114"/>
      <c r="M289" s="117"/>
      <c r="N289" s="114"/>
    </row>
    <row r="290" spans="10:14" x14ac:dyDescent="0.2">
      <c r="J290" s="116"/>
      <c r="K290" s="114"/>
      <c r="M290" s="117"/>
      <c r="N290" s="114"/>
    </row>
    <row r="291" spans="10:14" x14ac:dyDescent="0.2">
      <c r="J291" s="116"/>
      <c r="K291" s="114"/>
      <c r="M291" s="117"/>
      <c r="N291" s="114"/>
    </row>
    <row r="292" spans="10:14" x14ac:dyDescent="0.2">
      <c r="J292" s="116"/>
      <c r="K292" s="114"/>
      <c r="M292" s="117"/>
      <c r="N292" s="114"/>
    </row>
    <row r="293" spans="10:14" x14ac:dyDescent="0.2">
      <c r="J293" s="116"/>
      <c r="K293" s="114"/>
      <c r="M293" s="117"/>
      <c r="N293" s="114"/>
    </row>
    <row r="294" spans="10:14" x14ac:dyDescent="0.2">
      <c r="J294" s="116"/>
      <c r="K294" s="114"/>
      <c r="M294" s="117"/>
      <c r="N294" s="114"/>
    </row>
    <row r="295" spans="10:14" x14ac:dyDescent="0.2">
      <c r="J295" s="116"/>
      <c r="K295" s="114"/>
      <c r="M295" s="117"/>
      <c r="N295" s="114"/>
    </row>
    <row r="296" spans="10:14" x14ac:dyDescent="0.2">
      <c r="J296" s="116"/>
      <c r="K296" s="114"/>
      <c r="M296" s="117"/>
      <c r="N296" s="114"/>
    </row>
    <row r="297" spans="10:14" x14ac:dyDescent="0.2">
      <c r="J297" s="116"/>
      <c r="K297" s="114"/>
      <c r="M297" s="117"/>
      <c r="N297" s="114"/>
    </row>
    <row r="298" spans="10:14" x14ac:dyDescent="0.2">
      <c r="J298" s="116"/>
      <c r="K298" s="114"/>
      <c r="M298" s="117"/>
      <c r="N298" s="114"/>
    </row>
    <row r="299" spans="10:14" x14ac:dyDescent="0.2">
      <c r="J299" s="116"/>
      <c r="K299" s="114"/>
      <c r="M299" s="117"/>
      <c r="N299" s="114"/>
    </row>
    <row r="300" spans="10:14" x14ac:dyDescent="0.2">
      <c r="J300" s="116"/>
      <c r="K300" s="114"/>
      <c r="M300" s="117"/>
      <c r="N300" s="114"/>
    </row>
    <row r="301" spans="10:14" x14ac:dyDescent="0.2">
      <c r="J301" s="116"/>
      <c r="K301" s="114"/>
      <c r="M301" s="117"/>
      <c r="N301" s="114"/>
    </row>
    <row r="302" spans="10:14" x14ac:dyDescent="0.2">
      <c r="J302" s="116"/>
      <c r="K302" s="114"/>
      <c r="M302" s="117"/>
      <c r="N302" s="114"/>
    </row>
    <row r="303" spans="10:14" x14ac:dyDescent="0.2">
      <c r="J303" s="116"/>
      <c r="K303" s="114"/>
      <c r="M303" s="117"/>
      <c r="N303" s="114"/>
    </row>
    <row r="304" spans="10:14" x14ac:dyDescent="0.2">
      <c r="J304" s="116"/>
      <c r="K304" s="114"/>
      <c r="M304" s="117"/>
      <c r="N304" s="114"/>
    </row>
    <row r="305" spans="10:14" x14ac:dyDescent="0.2">
      <c r="J305" s="116"/>
      <c r="K305" s="114"/>
      <c r="M305" s="117"/>
      <c r="N305" s="114"/>
    </row>
    <row r="306" spans="10:14" x14ac:dyDescent="0.2">
      <c r="J306" s="116"/>
      <c r="K306" s="114"/>
      <c r="M306" s="117"/>
      <c r="N306" s="114"/>
    </row>
    <row r="307" spans="10:14" x14ac:dyDescent="0.2">
      <c r="J307" s="116"/>
      <c r="K307" s="114"/>
      <c r="M307" s="117"/>
      <c r="N307" s="114"/>
    </row>
    <row r="308" spans="10:14" x14ac:dyDescent="0.2">
      <c r="J308" s="116"/>
      <c r="K308" s="114"/>
      <c r="M308" s="117"/>
      <c r="N308" s="114"/>
    </row>
    <row r="309" spans="10:14" x14ac:dyDescent="0.2">
      <c r="J309" s="116"/>
      <c r="K309" s="114"/>
      <c r="M309" s="117"/>
      <c r="N309" s="114"/>
    </row>
    <row r="310" spans="10:14" x14ac:dyDescent="0.2">
      <c r="J310" s="116"/>
      <c r="K310" s="114"/>
      <c r="M310" s="117"/>
      <c r="N310" s="114"/>
    </row>
    <row r="311" spans="10:14" x14ac:dyDescent="0.2">
      <c r="J311" s="116"/>
      <c r="K311" s="114"/>
      <c r="M311" s="117"/>
      <c r="N311" s="114"/>
    </row>
    <row r="312" spans="10:14" x14ac:dyDescent="0.2">
      <c r="J312" s="116"/>
      <c r="K312" s="114"/>
      <c r="M312" s="117"/>
      <c r="N312" s="114"/>
    </row>
    <row r="313" spans="10:14" x14ac:dyDescent="0.2">
      <c r="J313" s="116"/>
      <c r="K313" s="114"/>
      <c r="M313" s="117"/>
      <c r="N313" s="114"/>
    </row>
    <row r="314" spans="10:14" x14ac:dyDescent="0.2">
      <c r="J314" s="116"/>
      <c r="K314" s="114"/>
      <c r="M314" s="117"/>
      <c r="N314" s="114"/>
    </row>
    <row r="315" spans="10:14" x14ac:dyDescent="0.2">
      <c r="J315" s="116"/>
      <c r="K315" s="114"/>
      <c r="M315" s="117"/>
      <c r="N315" s="114"/>
    </row>
    <row r="316" spans="10:14" x14ac:dyDescent="0.2">
      <c r="J316" s="116"/>
      <c r="K316" s="114"/>
      <c r="M316" s="117"/>
      <c r="N316" s="114"/>
    </row>
    <row r="317" spans="10:14" x14ac:dyDescent="0.2">
      <c r="J317" s="116"/>
      <c r="K317" s="114"/>
      <c r="M317" s="117"/>
      <c r="N317" s="114"/>
    </row>
    <row r="318" spans="10:14" x14ac:dyDescent="0.2">
      <c r="J318" s="116"/>
      <c r="K318" s="114"/>
      <c r="M318" s="117"/>
      <c r="N318" s="114"/>
    </row>
    <row r="319" spans="10:14" x14ac:dyDescent="0.2">
      <c r="J319" s="116"/>
      <c r="K319" s="114"/>
      <c r="M319" s="117"/>
      <c r="N319" s="114"/>
    </row>
    <row r="320" spans="10:14" x14ac:dyDescent="0.2">
      <c r="J320" s="116"/>
      <c r="K320" s="114"/>
      <c r="M320" s="117"/>
      <c r="N320" s="114"/>
    </row>
    <row r="321" spans="10:14" x14ac:dyDescent="0.2">
      <c r="J321" s="116"/>
      <c r="K321" s="114"/>
      <c r="M321" s="117"/>
      <c r="N321" s="114"/>
    </row>
    <row r="322" spans="10:14" x14ac:dyDescent="0.2">
      <c r="J322" s="116"/>
      <c r="K322" s="114"/>
      <c r="M322" s="117"/>
      <c r="N322" s="114"/>
    </row>
    <row r="323" spans="10:14" x14ac:dyDescent="0.2">
      <c r="J323" s="116"/>
      <c r="K323" s="114"/>
      <c r="M323" s="117"/>
      <c r="N323" s="114"/>
    </row>
    <row r="324" spans="10:14" x14ac:dyDescent="0.2">
      <c r="J324" s="116"/>
      <c r="K324" s="114"/>
      <c r="M324" s="117"/>
      <c r="N324" s="114"/>
    </row>
    <row r="325" spans="10:14" x14ac:dyDescent="0.2">
      <c r="J325" s="116"/>
      <c r="K325" s="114"/>
      <c r="M325" s="117"/>
      <c r="N325" s="114"/>
    </row>
    <row r="326" spans="10:14" x14ac:dyDescent="0.2">
      <c r="J326" s="116"/>
      <c r="K326" s="114"/>
      <c r="M326" s="117"/>
      <c r="N326" s="114"/>
    </row>
    <row r="327" spans="10:14" x14ac:dyDescent="0.2">
      <c r="J327" s="116"/>
      <c r="K327" s="114"/>
      <c r="M327" s="117"/>
      <c r="N327" s="114"/>
    </row>
    <row r="328" spans="10:14" x14ac:dyDescent="0.2">
      <c r="J328" s="116"/>
      <c r="K328" s="114"/>
      <c r="M328" s="117"/>
      <c r="N328" s="114"/>
    </row>
    <row r="329" spans="10:14" x14ac:dyDescent="0.2">
      <c r="J329" s="116"/>
      <c r="K329" s="114"/>
      <c r="M329" s="117"/>
      <c r="N329" s="114"/>
    </row>
    <row r="330" spans="10:14" x14ac:dyDescent="0.2">
      <c r="J330" s="116"/>
      <c r="K330" s="114"/>
      <c r="M330" s="117"/>
      <c r="N330" s="114"/>
    </row>
    <row r="331" spans="10:14" x14ac:dyDescent="0.2">
      <c r="J331" s="116"/>
      <c r="K331" s="114"/>
      <c r="M331" s="117"/>
      <c r="N331" s="114"/>
    </row>
    <row r="332" spans="10:14" x14ac:dyDescent="0.2">
      <c r="J332" s="116"/>
      <c r="K332" s="114"/>
      <c r="M332" s="117"/>
      <c r="N332" s="114"/>
    </row>
    <row r="333" spans="10:14" x14ac:dyDescent="0.2">
      <c r="J333" s="116"/>
      <c r="K333" s="114"/>
      <c r="M333" s="117"/>
      <c r="N333" s="114"/>
    </row>
    <row r="334" spans="10:14" x14ac:dyDescent="0.2">
      <c r="J334" s="116"/>
      <c r="K334" s="114"/>
      <c r="M334" s="117"/>
      <c r="N334" s="114"/>
    </row>
    <row r="335" spans="10:14" x14ac:dyDescent="0.2">
      <c r="J335" s="116"/>
      <c r="K335" s="114"/>
      <c r="M335" s="117"/>
      <c r="N335" s="114"/>
    </row>
    <row r="336" spans="10:14" x14ac:dyDescent="0.2">
      <c r="J336" s="116"/>
      <c r="K336" s="114"/>
      <c r="M336" s="117"/>
      <c r="N336" s="114"/>
    </row>
    <row r="337" spans="10:14" x14ac:dyDescent="0.2">
      <c r="J337" s="116"/>
      <c r="K337" s="114"/>
      <c r="M337" s="117"/>
      <c r="N337" s="114"/>
    </row>
    <row r="338" spans="10:14" x14ac:dyDescent="0.2">
      <c r="J338" s="116"/>
      <c r="K338" s="114"/>
      <c r="M338" s="117"/>
      <c r="N338" s="114"/>
    </row>
    <row r="339" spans="10:14" x14ac:dyDescent="0.2">
      <c r="J339" s="116"/>
      <c r="K339" s="114"/>
      <c r="M339" s="117"/>
      <c r="N339" s="114"/>
    </row>
    <row r="340" spans="10:14" x14ac:dyDescent="0.2">
      <c r="J340" s="116"/>
      <c r="K340" s="114"/>
      <c r="M340" s="117"/>
      <c r="N340" s="114"/>
    </row>
    <row r="341" spans="10:14" x14ac:dyDescent="0.2">
      <c r="J341" s="116"/>
      <c r="K341" s="114"/>
      <c r="M341" s="117"/>
      <c r="N341" s="114"/>
    </row>
    <row r="342" spans="10:14" x14ac:dyDescent="0.2">
      <c r="J342" s="116"/>
      <c r="K342" s="114"/>
      <c r="M342" s="117"/>
      <c r="N342" s="114"/>
    </row>
    <row r="343" spans="10:14" x14ac:dyDescent="0.2">
      <c r="J343" s="116"/>
      <c r="K343" s="114"/>
      <c r="M343" s="117"/>
      <c r="N343" s="114"/>
    </row>
    <row r="344" spans="10:14" x14ac:dyDescent="0.2">
      <c r="J344" s="116"/>
      <c r="K344" s="114"/>
      <c r="M344" s="117"/>
      <c r="N344" s="114"/>
    </row>
    <row r="345" spans="10:14" x14ac:dyDescent="0.2">
      <c r="J345" s="116"/>
      <c r="K345" s="114"/>
      <c r="M345" s="117"/>
      <c r="N345" s="114"/>
    </row>
    <row r="346" spans="10:14" x14ac:dyDescent="0.2">
      <c r="J346" s="116"/>
      <c r="K346" s="114"/>
      <c r="M346" s="117"/>
      <c r="N346" s="114"/>
    </row>
    <row r="347" spans="10:14" x14ac:dyDescent="0.2">
      <c r="J347" s="116"/>
      <c r="K347" s="114"/>
      <c r="M347" s="117"/>
      <c r="N347" s="114"/>
    </row>
    <row r="348" spans="10:14" x14ac:dyDescent="0.2">
      <c r="J348" s="116"/>
      <c r="K348" s="114"/>
      <c r="M348" s="117"/>
      <c r="N348" s="114"/>
    </row>
    <row r="349" spans="10:14" x14ac:dyDescent="0.2">
      <c r="J349" s="116"/>
      <c r="K349" s="114"/>
      <c r="M349" s="117"/>
      <c r="N349" s="114"/>
    </row>
    <row r="350" spans="10:14" x14ac:dyDescent="0.2">
      <c r="J350" s="116"/>
      <c r="K350" s="114"/>
      <c r="M350" s="117"/>
      <c r="N350" s="114"/>
    </row>
    <row r="351" spans="10:14" x14ac:dyDescent="0.2">
      <c r="J351" s="116"/>
      <c r="K351" s="114"/>
      <c r="M351" s="117"/>
      <c r="N351" s="114"/>
    </row>
    <row r="352" spans="10:14" x14ac:dyDescent="0.2">
      <c r="J352" s="116"/>
      <c r="K352" s="114"/>
      <c r="M352" s="117"/>
      <c r="N352" s="114"/>
    </row>
    <row r="353" spans="10:14" x14ac:dyDescent="0.2">
      <c r="J353" s="116"/>
      <c r="K353" s="114"/>
      <c r="M353" s="117"/>
      <c r="N353" s="114"/>
    </row>
    <row r="354" spans="10:14" x14ac:dyDescent="0.2">
      <c r="J354" s="116"/>
      <c r="K354" s="114"/>
      <c r="M354" s="117"/>
      <c r="N354" s="114"/>
    </row>
    <row r="355" spans="10:14" x14ac:dyDescent="0.2">
      <c r="J355" s="116"/>
      <c r="K355" s="114"/>
      <c r="M355" s="117"/>
      <c r="N355" s="114"/>
    </row>
    <row r="356" spans="10:14" x14ac:dyDescent="0.2">
      <c r="J356" s="116"/>
      <c r="K356" s="114"/>
      <c r="M356" s="117"/>
      <c r="N356" s="114"/>
    </row>
    <row r="357" spans="10:14" x14ac:dyDescent="0.2">
      <c r="J357" s="116"/>
      <c r="K357" s="114"/>
      <c r="M357" s="117"/>
      <c r="N357" s="114"/>
    </row>
    <row r="358" spans="10:14" x14ac:dyDescent="0.2">
      <c r="J358" s="116"/>
      <c r="K358" s="114"/>
      <c r="M358" s="117"/>
      <c r="N358" s="114"/>
    </row>
    <row r="359" spans="10:14" x14ac:dyDescent="0.2">
      <c r="J359" s="116"/>
      <c r="K359" s="114"/>
      <c r="M359" s="117"/>
      <c r="N359" s="114"/>
    </row>
    <row r="360" spans="10:14" x14ac:dyDescent="0.2">
      <c r="J360" s="116"/>
      <c r="K360" s="114"/>
      <c r="M360" s="117"/>
      <c r="N360" s="114"/>
    </row>
    <row r="361" spans="10:14" x14ac:dyDescent="0.2">
      <c r="J361" s="116"/>
      <c r="K361" s="114"/>
      <c r="M361" s="117"/>
      <c r="N361" s="114"/>
    </row>
    <row r="362" spans="10:14" x14ac:dyDescent="0.2">
      <c r="J362" s="116"/>
      <c r="K362" s="114"/>
      <c r="M362" s="117"/>
      <c r="N362" s="114"/>
    </row>
    <row r="363" spans="10:14" x14ac:dyDescent="0.2">
      <c r="J363" s="116"/>
      <c r="K363" s="114"/>
      <c r="M363" s="117"/>
      <c r="N363" s="114"/>
    </row>
    <row r="364" spans="10:14" x14ac:dyDescent="0.2">
      <c r="J364" s="116"/>
      <c r="K364" s="114"/>
      <c r="M364" s="117"/>
      <c r="N364" s="114"/>
    </row>
    <row r="365" spans="10:14" x14ac:dyDescent="0.2">
      <c r="J365" s="116"/>
      <c r="K365" s="114"/>
      <c r="M365" s="117"/>
      <c r="N365" s="114"/>
    </row>
    <row r="366" spans="10:14" x14ac:dyDescent="0.2">
      <c r="J366" s="116"/>
      <c r="K366" s="114"/>
      <c r="M366" s="117"/>
      <c r="N366" s="114"/>
    </row>
    <row r="367" spans="10:14" x14ac:dyDescent="0.2">
      <c r="J367" s="116"/>
      <c r="K367" s="114"/>
      <c r="M367" s="117"/>
      <c r="N367" s="114"/>
    </row>
    <row r="368" spans="10:14" x14ac:dyDescent="0.2">
      <c r="J368" s="116"/>
      <c r="K368" s="114"/>
      <c r="M368" s="117"/>
      <c r="N368" s="114"/>
    </row>
    <row r="369" spans="10:14" x14ac:dyDescent="0.2">
      <c r="J369" s="116"/>
      <c r="K369" s="114"/>
      <c r="M369" s="117"/>
      <c r="N369" s="114"/>
    </row>
    <row r="370" spans="10:14" x14ac:dyDescent="0.2">
      <c r="J370" s="116"/>
      <c r="K370" s="114"/>
      <c r="M370" s="117"/>
      <c r="N370" s="114"/>
    </row>
    <row r="371" spans="10:14" x14ac:dyDescent="0.2">
      <c r="J371" s="116"/>
      <c r="K371" s="114"/>
      <c r="M371" s="117"/>
      <c r="N371" s="114"/>
    </row>
    <row r="372" spans="10:14" x14ac:dyDescent="0.2">
      <c r="J372" s="116"/>
      <c r="K372" s="114"/>
      <c r="M372" s="117"/>
      <c r="N372" s="114"/>
    </row>
    <row r="373" spans="10:14" x14ac:dyDescent="0.2">
      <c r="J373" s="116"/>
      <c r="K373" s="114"/>
      <c r="M373" s="117"/>
      <c r="N373" s="114"/>
    </row>
    <row r="374" spans="10:14" x14ac:dyDescent="0.2">
      <c r="J374" s="116"/>
      <c r="K374" s="114"/>
      <c r="M374" s="117"/>
      <c r="N374" s="114"/>
    </row>
    <row r="375" spans="10:14" x14ac:dyDescent="0.2">
      <c r="J375" s="116"/>
      <c r="K375" s="114"/>
      <c r="M375" s="117"/>
      <c r="N375" s="114"/>
    </row>
    <row r="376" spans="10:14" x14ac:dyDescent="0.2">
      <c r="J376" s="116"/>
      <c r="K376" s="114"/>
      <c r="M376" s="117"/>
      <c r="N376" s="114"/>
    </row>
    <row r="377" spans="10:14" x14ac:dyDescent="0.2">
      <c r="J377" s="116"/>
      <c r="K377" s="114"/>
      <c r="M377" s="117"/>
      <c r="N377" s="114"/>
    </row>
    <row r="378" spans="10:14" x14ac:dyDescent="0.2">
      <c r="J378" s="116"/>
      <c r="K378" s="114"/>
      <c r="M378" s="117"/>
      <c r="N378" s="114"/>
    </row>
    <row r="379" spans="10:14" x14ac:dyDescent="0.2">
      <c r="J379" s="116"/>
      <c r="K379" s="114"/>
      <c r="M379" s="117"/>
      <c r="N379" s="114"/>
    </row>
    <row r="380" spans="10:14" x14ac:dyDescent="0.2">
      <c r="J380" s="116"/>
      <c r="K380" s="114"/>
      <c r="M380" s="117"/>
      <c r="N380" s="114"/>
    </row>
    <row r="381" spans="10:14" x14ac:dyDescent="0.2">
      <c r="J381" s="116"/>
      <c r="K381" s="114"/>
      <c r="M381" s="117"/>
      <c r="N381" s="114"/>
    </row>
    <row r="382" spans="10:14" x14ac:dyDescent="0.2">
      <c r="J382" s="116"/>
      <c r="K382" s="114"/>
      <c r="M382" s="117"/>
      <c r="N382" s="114"/>
    </row>
    <row r="383" spans="10:14" x14ac:dyDescent="0.2">
      <c r="J383" s="116"/>
      <c r="K383" s="114"/>
      <c r="M383" s="117"/>
      <c r="N383" s="114"/>
    </row>
    <row r="384" spans="10:14" x14ac:dyDescent="0.2">
      <c r="J384" s="116"/>
      <c r="K384" s="114"/>
      <c r="M384" s="117"/>
      <c r="N384" s="114"/>
    </row>
    <row r="385" spans="10:14" x14ac:dyDescent="0.2">
      <c r="J385" s="116"/>
      <c r="K385" s="114"/>
      <c r="M385" s="117"/>
      <c r="N385" s="114"/>
    </row>
    <row r="386" spans="10:14" x14ac:dyDescent="0.2">
      <c r="J386" s="116"/>
      <c r="K386" s="114"/>
      <c r="M386" s="117"/>
      <c r="N386" s="114"/>
    </row>
    <row r="387" spans="10:14" x14ac:dyDescent="0.2">
      <c r="J387" s="116"/>
      <c r="K387" s="114"/>
      <c r="M387" s="117"/>
      <c r="N387" s="114"/>
    </row>
    <row r="388" spans="10:14" x14ac:dyDescent="0.2">
      <c r="J388" s="116"/>
      <c r="K388" s="114"/>
      <c r="M388" s="117"/>
      <c r="N388" s="114"/>
    </row>
    <row r="389" spans="10:14" x14ac:dyDescent="0.2">
      <c r="J389" s="116"/>
      <c r="K389" s="114"/>
      <c r="M389" s="117"/>
      <c r="N389" s="114"/>
    </row>
    <row r="390" spans="10:14" x14ac:dyDescent="0.2">
      <c r="J390" s="116"/>
      <c r="K390" s="114"/>
      <c r="M390" s="117"/>
      <c r="N390" s="114"/>
    </row>
    <row r="391" spans="10:14" x14ac:dyDescent="0.2">
      <c r="J391" s="116"/>
      <c r="K391" s="114"/>
      <c r="M391" s="117"/>
      <c r="N391" s="114"/>
    </row>
    <row r="392" spans="10:14" x14ac:dyDescent="0.2">
      <c r="J392" s="116"/>
      <c r="K392" s="114"/>
      <c r="M392" s="117"/>
      <c r="N392" s="114"/>
    </row>
    <row r="393" spans="10:14" x14ac:dyDescent="0.2">
      <c r="J393" s="116"/>
      <c r="K393" s="114"/>
      <c r="M393" s="117"/>
      <c r="N393" s="114"/>
    </row>
    <row r="394" spans="10:14" x14ac:dyDescent="0.2">
      <c r="J394" s="116"/>
      <c r="K394" s="114"/>
      <c r="M394" s="117"/>
      <c r="N394" s="114"/>
    </row>
    <row r="395" spans="10:14" x14ac:dyDescent="0.2">
      <c r="J395" s="116"/>
      <c r="K395" s="114"/>
      <c r="M395" s="117"/>
      <c r="N395" s="114"/>
    </row>
    <row r="396" spans="10:14" x14ac:dyDescent="0.2">
      <c r="J396" s="116"/>
      <c r="K396" s="114"/>
      <c r="M396" s="117"/>
      <c r="N396" s="114"/>
    </row>
    <row r="397" spans="10:14" x14ac:dyDescent="0.2">
      <c r="J397" s="116"/>
      <c r="K397" s="114"/>
      <c r="M397" s="117"/>
      <c r="N397" s="114"/>
    </row>
    <row r="398" spans="10:14" x14ac:dyDescent="0.2">
      <c r="J398" s="116"/>
      <c r="K398" s="114"/>
      <c r="M398" s="117"/>
      <c r="N398" s="114"/>
    </row>
    <row r="399" spans="10:14" x14ac:dyDescent="0.2">
      <c r="J399" s="116"/>
      <c r="K399" s="114"/>
      <c r="M399" s="117"/>
      <c r="N399" s="114"/>
    </row>
    <row r="400" spans="10:14" x14ac:dyDescent="0.2">
      <c r="J400" s="116"/>
      <c r="K400" s="114"/>
      <c r="M400" s="117"/>
      <c r="N400" s="114"/>
    </row>
    <row r="401" spans="10:14" x14ac:dyDescent="0.2">
      <c r="J401" s="116"/>
      <c r="K401" s="114"/>
      <c r="M401" s="117"/>
      <c r="N401" s="114"/>
    </row>
    <row r="402" spans="10:14" x14ac:dyDescent="0.2">
      <c r="J402" s="116"/>
      <c r="K402" s="114"/>
      <c r="M402" s="117"/>
      <c r="N402" s="114"/>
    </row>
    <row r="403" spans="10:14" x14ac:dyDescent="0.2">
      <c r="J403" s="116"/>
      <c r="K403" s="114"/>
      <c r="M403" s="117"/>
      <c r="N403" s="114"/>
    </row>
    <row r="404" spans="10:14" x14ac:dyDescent="0.2">
      <c r="J404" s="116"/>
      <c r="K404" s="114"/>
      <c r="M404" s="117"/>
      <c r="N404" s="114"/>
    </row>
    <row r="405" spans="10:14" x14ac:dyDescent="0.2">
      <c r="J405" s="116"/>
      <c r="K405" s="114"/>
      <c r="M405" s="117"/>
      <c r="N405" s="114"/>
    </row>
    <row r="406" spans="10:14" x14ac:dyDescent="0.2">
      <c r="J406" s="116"/>
      <c r="K406" s="114"/>
      <c r="M406" s="117"/>
      <c r="N406" s="114"/>
    </row>
    <row r="407" spans="10:14" x14ac:dyDescent="0.2">
      <c r="J407" s="116"/>
      <c r="K407" s="114"/>
      <c r="M407" s="117"/>
      <c r="N407" s="114"/>
    </row>
    <row r="408" spans="10:14" x14ac:dyDescent="0.2">
      <c r="J408" s="116"/>
      <c r="K408" s="114"/>
      <c r="M408" s="117"/>
      <c r="N408" s="114"/>
    </row>
    <row r="409" spans="10:14" x14ac:dyDescent="0.2">
      <c r="J409" s="116"/>
      <c r="K409" s="114"/>
      <c r="M409" s="117"/>
      <c r="N409" s="114"/>
    </row>
    <row r="410" spans="10:14" x14ac:dyDescent="0.2">
      <c r="J410" s="116"/>
      <c r="K410" s="114"/>
      <c r="M410" s="117"/>
      <c r="N410" s="114"/>
    </row>
    <row r="411" spans="10:14" x14ac:dyDescent="0.2">
      <c r="J411" s="116"/>
      <c r="K411" s="114"/>
      <c r="M411" s="117"/>
      <c r="N411" s="114"/>
    </row>
    <row r="412" spans="10:14" x14ac:dyDescent="0.2">
      <c r="J412" s="116"/>
      <c r="K412" s="114"/>
      <c r="M412" s="117"/>
      <c r="N412" s="114"/>
    </row>
    <row r="413" spans="10:14" x14ac:dyDescent="0.2">
      <c r="J413" s="116"/>
      <c r="K413" s="114"/>
      <c r="M413" s="117"/>
      <c r="N413" s="114"/>
    </row>
    <row r="414" spans="10:14" x14ac:dyDescent="0.2">
      <c r="J414" s="116"/>
      <c r="K414" s="114"/>
      <c r="M414" s="117"/>
      <c r="N414" s="114"/>
    </row>
    <row r="415" spans="10:14" x14ac:dyDescent="0.2">
      <c r="J415" s="116"/>
      <c r="K415" s="114"/>
      <c r="M415" s="117"/>
      <c r="N415" s="114"/>
    </row>
    <row r="416" spans="10:14" x14ac:dyDescent="0.2">
      <c r="J416" s="116"/>
      <c r="K416" s="114"/>
      <c r="M416" s="117"/>
      <c r="N416" s="114"/>
    </row>
    <row r="417" spans="10:14" x14ac:dyDescent="0.2">
      <c r="J417" s="116"/>
      <c r="K417" s="114"/>
      <c r="M417" s="117"/>
      <c r="N417" s="114"/>
    </row>
    <row r="418" spans="10:14" x14ac:dyDescent="0.2">
      <c r="J418" s="116"/>
      <c r="K418" s="114"/>
      <c r="M418" s="117"/>
      <c r="N418" s="114"/>
    </row>
    <row r="419" spans="10:14" x14ac:dyDescent="0.2">
      <c r="J419" s="116"/>
      <c r="K419" s="114"/>
      <c r="M419" s="117"/>
      <c r="N419" s="114"/>
    </row>
    <row r="420" spans="10:14" x14ac:dyDescent="0.2">
      <c r="J420" s="116"/>
      <c r="K420" s="114"/>
      <c r="M420" s="117"/>
      <c r="N420" s="114"/>
    </row>
    <row r="421" spans="10:14" x14ac:dyDescent="0.2">
      <c r="J421" s="116"/>
      <c r="K421" s="114"/>
      <c r="M421" s="117"/>
      <c r="N421" s="114"/>
    </row>
    <row r="422" spans="10:14" x14ac:dyDescent="0.2">
      <c r="J422" s="116"/>
      <c r="K422" s="114"/>
      <c r="M422" s="117"/>
      <c r="N422" s="114"/>
    </row>
    <row r="423" spans="10:14" x14ac:dyDescent="0.2">
      <c r="J423" s="116"/>
      <c r="K423" s="114"/>
      <c r="M423" s="117"/>
      <c r="N423" s="114"/>
    </row>
    <row r="424" spans="10:14" x14ac:dyDescent="0.2">
      <c r="J424" s="116"/>
      <c r="K424" s="114"/>
      <c r="M424" s="117"/>
      <c r="N424" s="114"/>
    </row>
    <row r="425" spans="10:14" x14ac:dyDescent="0.2">
      <c r="J425" s="116"/>
      <c r="K425" s="114"/>
      <c r="M425" s="117"/>
      <c r="N425" s="114"/>
    </row>
    <row r="426" spans="10:14" x14ac:dyDescent="0.2">
      <c r="J426" s="116"/>
      <c r="K426" s="114"/>
      <c r="M426" s="117"/>
      <c r="N426" s="114"/>
    </row>
    <row r="427" spans="10:14" x14ac:dyDescent="0.2">
      <c r="J427" s="116"/>
      <c r="K427" s="114"/>
      <c r="M427" s="117"/>
      <c r="N427" s="114"/>
    </row>
    <row r="428" spans="10:14" x14ac:dyDescent="0.2">
      <c r="J428" s="116"/>
      <c r="K428" s="114"/>
      <c r="M428" s="117"/>
      <c r="N428" s="114"/>
    </row>
    <row r="429" spans="10:14" x14ac:dyDescent="0.2">
      <c r="J429" s="116"/>
      <c r="K429" s="114"/>
      <c r="M429" s="117"/>
      <c r="N429" s="114"/>
    </row>
    <row r="430" spans="10:14" x14ac:dyDescent="0.2">
      <c r="J430" s="116"/>
      <c r="K430" s="114"/>
      <c r="M430" s="117"/>
      <c r="N430" s="114"/>
    </row>
    <row r="431" spans="10:14" x14ac:dyDescent="0.2">
      <c r="J431" s="116"/>
      <c r="K431" s="114"/>
      <c r="M431" s="117"/>
      <c r="N431" s="114"/>
    </row>
    <row r="432" spans="10:14" x14ac:dyDescent="0.2">
      <c r="J432" s="116"/>
      <c r="K432" s="114"/>
      <c r="M432" s="117"/>
      <c r="N432" s="114"/>
    </row>
    <row r="433" spans="10:14" x14ac:dyDescent="0.2">
      <c r="J433" s="116"/>
      <c r="K433" s="114"/>
      <c r="M433" s="117"/>
      <c r="N433" s="114"/>
    </row>
    <row r="434" spans="10:14" x14ac:dyDescent="0.2">
      <c r="J434" s="116"/>
      <c r="K434" s="114"/>
      <c r="M434" s="117"/>
      <c r="N434" s="114"/>
    </row>
    <row r="435" spans="10:14" x14ac:dyDescent="0.2">
      <c r="J435" s="116"/>
      <c r="K435" s="114"/>
      <c r="M435" s="117"/>
      <c r="N435" s="114"/>
    </row>
    <row r="436" spans="10:14" x14ac:dyDescent="0.2">
      <c r="J436" s="116"/>
      <c r="K436" s="114"/>
      <c r="M436" s="117"/>
      <c r="N436" s="114"/>
    </row>
    <row r="437" spans="10:14" x14ac:dyDescent="0.2">
      <c r="J437" s="116"/>
      <c r="K437" s="114"/>
      <c r="M437" s="117"/>
      <c r="N437" s="114"/>
    </row>
    <row r="438" spans="10:14" x14ac:dyDescent="0.2">
      <c r="J438" s="116"/>
      <c r="K438" s="114"/>
      <c r="M438" s="117"/>
      <c r="N438" s="114"/>
    </row>
    <row r="439" spans="10:14" x14ac:dyDescent="0.2">
      <c r="J439" s="116"/>
      <c r="K439" s="114"/>
      <c r="M439" s="117"/>
      <c r="N439" s="114"/>
    </row>
    <row r="440" spans="10:14" x14ac:dyDescent="0.2">
      <c r="J440" s="116"/>
      <c r="K440" s="114"/>
      <c r="M440" s="117"/>
      <c r="N440" s="114"/>
    </row>
    <row r="441" spans="10:14" x14ac:dyDescent="0.2">
      <c r="J441" s="116"/>
      <c r="K441" s="114"/>
      <c r="M441" s="117"/>
      <c r="N441" s="114"/>
    </row>
    <row r="442" spans="10:14" x14ac:dyDescent="0.2">
      <c r="J442" s="116"/>
      <c r="K442" s="114"/>
      <c r="M442" s="117"/>
      <c r="N442" s="114"/>
    </row>
    <row r="443" spans="10:14" x14ac:dyDescent="0.2">
      <c r="J443" s="116"/>
      <c r="K443" s="114"/>
      <c r="M443" s="117"/>
      <c r="N443" s="114"/>
    </row>
    <row r="444" spans="10:14" x14ac:dyDescent="0.2">
      <c r="J444" s="116"/>
      <c r="K444" s="114"/>
      <c r="M444" s="117"/>
      <c r="N444" s="114"/>
    </row>
    <row r="445" spans="10:14" x14ac:dyDescent="0.2">
      <c r="J445" s="116"/>
      <c r="K445" s="114"/>
      <c r="M445" s="117"/>
      <c r="N445" s="114"/>
    </row>
    <row r="446" spans="10:14" x14ac:dyDescent="0.2">
      <c r="J446" s="116"/>
      <c r="K446" s="114"/>
      <c r="M446" s="117"/>
      <c r="N446" s="114"/>
    </row>
    <row r="447" spans="10:14" x14ac:dyDescent="0.2">
      <c r="J447" s="116"/>
      <c r="K447" s="114"/>
      <c r="M447" s="117"/>
      <c r="N447" s="114"/>
    </row>
    <row r="448" spans="10:14" x14ac:dyDescent="0.2">
      <c r="J448" s="116"/>
      <c r="K448" s="114"/>
      <c r="M448" s="117"/>
      <c r="N448" s="114"/>
    </row>
    <row r="449" spans="10:14" x14ac:dyDescent="0.2">
      <c r="J449" s="116"/>
      <c r="K449" s="114"/>
      <c r="M449" s="117"/>
      <c r="N449" s="114"/>
    </row>
    <row r="450" spans="10:14" x14ac:dyDescent="0.2">
      <c r="J450" s="116"/>
      <c r="K450" s="114"/>
      <c r="M450" s="117"/>
      <c r="N450" s="114"/>
    </row>
    <row r="451" spans="10:14" x14ac:dyDescent="0.2">
      <c r="J451" s="116"/>
      <c r="K451" s="114"/>
      <c r="M451" s="117"/>
      <c r="N451" s="114"/>
    </row>
    <row r="452" spans="10:14" x14ac:dyDescent="0.2">
      <c r="J452" s="116"/>
      <c r="K452" s="114"/>
      <c r="M452" s="117"/>
      <c r="N452" s="114"/>
    </row>
    <row r="453" spans="10:14" x14ac:dyDescent="0.2">
      <c r="J453" s="116"/>
      <c r="K453" s="114"/>
      <c r="M453" s="117"/>
      <c r="N453" s="114"/>
    </row>
    <row r="454" spans="10:14" x14ac:dyDescent="0.2">
      <c r="J454" s="116"/>
      <c r="K454" s="114"/>
      <c r="M454" s="117"/>
      <c r="N454" s="114"/>
    </row>
    <row r="455" spans="10:14" x14ac:dyDescent="0.2">
      <c r="J455" s="116"/>
      <c r="K455" s="114"/>
      <c r="M455" s="117"/>
      <c r="N455" s="114"/>
    </row>
    <row r="456" spans="10:14" x14ac:dyDescent="0.2">
      <c r="J456" s="116"/>
      <c r="K456" s="114"/>
      <c r="M456" s="117"/>
      <c r="N456" s="114"/>
    </row>
    <row r="457" spans="10:14" x14ac:dyDescent="0.2">
      <c r="J457" s="116"/>
      <c r="K457" s="114"/>
      <c r="M457" s="117"/>
      <c r="N457" s="114"/>
    </row>
    <row r="458" spans="10:14" x14ac:dyDescent="0.2">
      <c r="J458" s="116"/>
      <c r="K458" s="114"/>
      <c r="M458" s="117"/>
      <c r="N458" s="114"/>
    </row>
    <row r="459" spans="10:14" x14ac:dyDescent="0.2">
      <c r="J459" s="116"/>
      <c r="K459" s="114"/>
      <c r="M459" s="117"/>
      <c r="N459" s="114"/>
    </row>
    <row r="460" spans="10:14" x14ac:dyDescent="0.2">
      <c r="J460" s="116"/>
      <c r="K460" s="114"/>
      <c r="M460" s="117"/>
      <c r="N460" s="114"/>
    </row>
    <row r="461" spans="10:14" x14ac:dyDescent="0.2">
      <c r="J461" s="116"/>
      <c r="K461" s="114"/>
      <c r="M461" s="117"/>
      <c r="N461" s="114"/>
    </row>
    <row r="462" spans="10:14" x14ac:dyDescent="0.2">
      <c r="J462" s="116"/>
      <c r="K462" s="114"/>
      <c r="M462" s="117"/>
      <c r="N462" s="114"/>
    </row>
    <row r="463" spans="10:14" x14ac:dyDescent="0.2">
      <c r="J463" s="116"/>
      <c r="K463" s="114"/>
      <c r="M463" s="117"/>
      <c r="N463" s="114"/>
    </row>
    <row r="464" spans="10:14" x14ac:dyDescent="0.2">
      <c r="J464" s="116"/>
      <c r="K464" s="114"/>
      <c r="M464" s="117"/>
      <c r="N464" s="114"/>
    </row>
    <row r="465" spans="10:14" x14ac:dyDescent="0.2">
      <c r="J465" s="116"/>
      <c r="K465" s="114"/>
      <c r="M465" s="117"/>
      <c r="N465" s="114"/>
    </row>
    <row r="466" spans="10:14" x14ac:dyDescent="0.2">
      <c r="J466" s="116"/>
      <c r="K466" s="114"/>
      <c r="M466" s="117"/>
      <c r="N466" s="114"/>
    </row>
    <row r="467" spans="10:14" x14ac:dyDescent="0.2">
      <c r="J467" s="116"/>
      <c r="K467" s="114"/>
      <c r="M467" s="117"/>
      <c r="N467" s="114"/>
    </row>
    <row r="468" spans="10:14" x14ac:dyDescent="0.2">
      <c r="J468" s="116"/>
      <c r="K468" s="114"/>
      <c r="M468" s="117"/>
      <c r="N468" s="114"/>
    </row>
    <row r="469" spans="10:14" x14ac:dyDescent="0.2">
      <c r="J469" s="116"/>
      <c r="K469" s="114"/>
      <c r="M469" s="117"/>
      <c r="N469" s="114"/>
    </row>
    <row r="470" spans="10:14" x14ac:dyDescent="0.2">
      <c r="J470" s="116"/>
      <c r="K470" s="114"/>
      <c r="M470" s="117"/>
      <c r="N470" s="114"/>
    </row>
    <row r="471" spans="10:14" x14ac:dyDescent="0.2">
      <c r="J471" s="116"/>
      <c r="K471" s="114"/>
      <c r="M471" s="117"/>
      <c r="N471" s="114"/>
    </row>
    <row r="472" spans="10:14" x14ac:dyDescent="0.2">
      <c r="J472" s="116"/>
      <c r="K472" s="114"/>
      <c r="M472" s="117"/>
      <c r="N472" s="114"/>
    </row>
    <row r="473" spans="10:14" x14ac:dyDescent="0.2">
      <c r="J473" s="116"/>
      <c r="K473" s="114"/>
      <c r="M473" s="117"/>
      <c r="N473" s="114"/>
    </row>
    <row r="474" spans="10:14" x14ac:dyDescent="0.2">
      <c r="J474" s="116"/>
      <c r="K474" s="114"/>
      <c r="M474" s="117"/>
      <c r="N474" s="114"/>
    </row>
    <row r="475" spans="10:14" x14ac:dyDescent="0.2">
      <c r="J475" s="116"/>
      <c r="K475" s="114"/>
      <c r="M475" s="117"/>
      <c r="N475" s="114"/>
    </row>
    <row r="476" spans="10:14" x14ac:dyDescent="0.2">
      <c r="J476" s="116"/>
      <c r="K476" s="114"/>
      <c r="M476" s="117"/>
      <c r="N476" s="114"/>
    </row>
    <row r="477" spans="10:14" x14ac:dyDescent="0.2">
      <c r="J477" s="116"/>
      <c r="K477" s="114"/>
      <c r="M477" s="117"/>
      <c r="N477" s="114"/>
    </row>
    <row r="478" spans="10:14" x14ac:dyDescent="0.2">
      <c r="J478" s="116"/>
      <c r="K478" s="114"/>
      <c r="M478" s="117"/>
      <c r="N478" s="114"/>
    </row>
    <row r="479" spans="10:14" x14ac:dyDescent="0.2">
      <c r="J479" s="116"/>
      <c r="K479" s="114"/>
      <c r="M479" s="117"/>
      <c r="N479" s="114"/>
    </row>
    <row r="480" spans="10:14" x14ac:dyDescent="0.2">
      <c r="J480" s="116"/>
      <c r="K480" s="114"/>
      <c r="M480" s="117"/>
      <c r="N480" s="114"/>
    </row>
    <row r="481" spans="10:14" x14ac:dyDescent="0.2">
      <c r="J481" s="116"/>
      <c r="K481" s="114"/>
      <c r="M481" s="117"/>
      <c r="N481" s="114"/>
    </row>
    <row r="482" spans="10:14" x14ac:dyDescent="0.2">
      <c r="J482" s="116"/>
      <c r="K482" s="114"/>
      <c r="M482" s="117"/>
      <c r="N482" s="114"/>
    </row>
    <row r="483" spans="10:14" x14ac:dyDescent="0.2">
      <c r="J483" s="116"/>
      <c r="K483" s="114"/>
      <c r="M483" s="117"/>
      <c r="N483" s="114"/>
    </row>
    <row r="484" spans="10:14" x14ac:dyDescent="0.2">
      <c r="J484" s="116"/>
      <c r="K484" s="114"/>
      <c r="M484" s="117"/>
      <c r="N484" s="114"/>
    </row>
    <row r="485" spans="10:14" x14ac:dyDescent="0.2">
      <c r="J485" s="116"/>
      <c r="K485" s="114"/>
      <c r="M485" s="117"/>
      <c r="N485" s="114"/>
    </row>
    <row r="486" spans="10:14" x14ac:dyDescent="0.2">
      <c r="J486" s="116"/>
      <c r="K486" s="114"/>
      <c r="M486" s="117"/>
      <c r="N486" s="114"/>
    </row>
    <row r="487" spans="10:14" x14ac:dyDescent="0.2">
      <c r="J487" s="116"/>
      <c r="K487" s="114"/>
      <c r="M487" s="117"/>
      <c r="N487" s="114"/>
    </row>
    <row r="488" spans="10:14" x14ac:dyDescent="0.2">
      <c r="J488" s="116"/>
      <c r="K488" s="114"/>
      <c r="M488" s="117"/>
      <c r="N488" s="114"/>
    </row>
    <row r="489" spans="10:14" x14ac:dyDescent="0.2">
      <c r="J489" s="116"/>
      <c r="K489" s="114"/>
      <c r="M489" s="117"/>
      <c r="N489" s="114"/>
    </row>
    <row r="490" spans="10:14" x14ac:dyDescent="0.2">
      <c r="J490" s="116"/>
      <c r="K490" s="114"/>
      <c r="M490" s="117"/>
      <c r="N490" s="114"/>
    </row>
    <row r="491" spans="10:14" x14ac:dyDescent="0.2">
      <c r="J491" s="116"/>
      <c r="K491" s="114"/>
      <c r="M491" s="117"/>
      <c r="N491" s="114"/>
    </row>
    <row r="492" spans="10:14" x14ac:dyDescent="0.2">
      <c r="J492" s="116"/>
      <c r="K492" s="114"/>
      <c r="M492" s="117"/>
      <c r="N492" s="114"/>
    </row>
    <row r="493" spans="10:14" x14ac:dyDescent="0.2">
      <c r="J493" s="116"/>
      <c r="K493" s="114"/>
      <c r="M493" s="117"/>
      <c r="N493" s="114"/>
    </row>
    <row r="494" spans="10:14" x14ac:dyDescent="0.2">
      <c r="J494" s="116"/>
      <c r="K494" s="114"/>
      <c r="M494" s="117"/>
      <c r="N494" s="114"/>
    </row>
    <row r="495" spans="10:14" x14ac:dyDescent="0.2">
      <c r="J495" s="116"/>
      <c r="K495" s="114"/>
      <c r="M495" s="117"/>
      <c r="N495" s="114"/>
    </row>
    <row r="496" spans="10:14" x14ac:dyDescent="0.2">
      <c r="J496" s="116"/>
      <c r="K496" s="114"/>
      <c r="M496" s="117"/>
      <c r="N496" s="114"/>
    </row>
    <row r="497" spans="10:14" x14ac:dyDescent="0.2">
      <c r="J497" s="116"/>
      <c r="K497" s="114"/>
      <c r="M497" s="117"/>
      <c r="N497" s="114"/>
    </row>
    <row r="498" spans="10:14" x14ac:dyDescent="0.2">
      <c r="J498" s="116"/>
      <c r="K498" s="114"/>
      <c r="M498" s="117"/>
      <c r="N498" s="114"/>
    </row>
    <row r="499" spans="10:14" x14ac:dyDescent="0.2">
      <c r="J499" s="116"/>
      <c r="K499" s="114"/>
      <c r="M499" s="117"/>
      <c r="N499" s="114"/>
    </row>
    <row r="500" spans="10:14" x14ac:dyDescent="0.2">
      <c r="J500" s="116"/>
      <c r="K500" s="114"/>
      <c r="M500" s="117"/>
      <c r="N500" s="114"/>
    </row>
    <row r="501" spans="10:14" x14ac:dyDescent="0.2">
      <c r="J501" s="116"/>
      <c r="K501" s="114"/>
      <c r="M501" s="117"/>
      <c r="N501" s="114"/>
    </row>
    <row r="502" spans="10:14" x14ac:dyDescent="0.2">
      <c r="J502" s="116"/>
      <c r="K502" s="114"/>
      <c r="M502" s="117"/>
      <c r="N502" s="114"/>
    </row>
    <row r="503" spans="10:14" x14ac:dyDescent="0.2">
      <c r="J503" s="116"/>
      <c r="K503" s="114"/>
      <c r="M503" s="117"/>
      <c r="N503" s="114"/>
    </row>
    <row r="504" spans="10:14" x14ac:dyDescent="0.2">
      <c r="J504" s="116"/>
      <c r="K504" s="114"/>
      <c r="M504" s="117"/>
      <c r="N504" s="114"/>
    </row>
    <row r="505" spans="10:14" x14ac:dyDescent="0.2">
      <c r="J505" s="116"/>
      <c r="K505" s="114"/>
      <c r="M505" s="117"/>
      <c r="N505" s="114"/>
    </row>
    <row r="506" spans="10:14" x14ac:dyDescent="0.2">
      <c r="J506" s="116"/>
      <c r="K506" s="114"/>
      <c r="M506" s="117"/>
      <c r="N506" s="114"/>
    </row>
    <row r="507" spans="10:14" x14ac:dyDescent="0.2">
      <c r="J507" s="116"/>
      <c r="K507" s="114"/>
      <c r="M507" s="117"/>
      <c r="N507" s="114"/>
    </row>
    <row r="508" spans="10:14" x14ac:dyDescent="0.2">
      <c r="J508" s="116"/>
      <c r="K508" s="114"/>
      <c r="M508" s="117"/>
      <c r="N508" s="114"/>
    </row>
    <row r="509" spans="10:14" x14ac:dyDescent="0.2">
      <c r="J509" s="116"/>
      <c r="K509" s="114"/>
      <c r="M509" s="117"/>
      <c r="N509" s="114"/>
    </row>
    <row r="510" spans="10:14" x14ac:dyDescent="0.2">
      <c r="J510" s="116"/>
      <c r="K510" s="114"/>
      <c r="M510" s="117"/>
      <c r="N510" s="114"/>
    </row>
    <row r="511" spans="10:14" x14ac:dyDescent="0.2">
      <c r="J511" s="116"/>
      <c r="K511" s="114"/>
      <c r="M511" s="117"/>
      <c r="N511" s="114"/>
    </row>
    <row r="512" spans="10:14" x14ac:dyDescent="0.2">
      <c r="J512" s="116"/>
      <c r="K512" s="114"/>
      <c r="M512" s="117"/>
      <c r="N512" s="114"/>
    </row>
    <row r="513" spans="10:14" x14ac:dyDescent="0.2">
      <c r="J513" s="116"/>
      <c r="K513" s="114"/>
      <c r="M513" s="117"/>
      <c r="N513" s="114"/>
    </row>
    <row r="514" spans="10:14" x14ac:dyDescent="0.2">
      <c r="J514" s="116"/>
      <c r="K514" s="114"/>
      <c r="M514" s="117"/>
      <c r="N514" s="114"/>
    </row>
    <row r="515" spans="10:14" x14ac:dyDescent="0.2">
      <c r="J515" s="116"/>
      <c r="K515" s="114"/>
      <c r="M515" s="117"/>
      <c r="N515" s="114"/>
    </row>
    <row r="516" spans="10:14" x14ac:dyDescent="0.2">
      <c r="J516" s="116"/>
      <c r="K516" s="114"/>
      <c r="M516" s="117"/>
      <c r="N516" s="114"/>
    </row>
    <row r="517" spans="10:14" x14ac:dyDescent="0.2">
      <c r="J517" s="116"/>
      <c r="K517" s="114"/>
      <c r="M517" s="117"/>
      <c r="N517" s="114"/>
    </row>
    <row r="518" spans="10:14" x14ac:dyDescent="0.2">
      <c r="J518" s="116"/>
      <c r="K518" s="114"/>
      <c r="M518" s="117"/>
      <c r="N518" s="114"/>
    </row>
    <row r="519" spans="10:14" x14ac:dyDescent="0.2">
      <c r="J519" s="116"/>
      <c r="K519" s="114"/>
      <c r="M519" s="117"/>
      <c r="N519" s="114"/>
    </row>
    <row r="520" spans="10:14" x14ac:dyDescent="0.2">
      <c r="J520" s="116"/>
      <c r="K520" s="114"/>
      <c r="M520" s="117"/>
      <c r="N520" s="114"/>
    </row>
    <row r="521" spans="10:14" x14ac:dyDescent="0.2">
      <c r="J521" s="116"/>
      <c r="K521" s="114"/>
      <c r="M521" s="117"/>
      <c r="N521" s="114"/>
    </row>
    <row r="522" spans="10:14" x14ac:dyDescent="0.2">
      <c r="J522" s="116"/>
      <c r="K522" s="114"/>
      <c r="M522" s="117"/>
      <c r="N522" s="114"/>
    </row>
    <row r="523" spans="10:14" x14ac:dyDescent="0.2">
      <c r="J523" s="116"/>
      <c r="K523" s="114"/>
      <c r="M523" s="117"/>
      <c r="N523" s="114"/>
    </row>
    <row r="524" spans="10:14" x14ac:dyDescent="0.2">
      <c r="J524" s="116"/>
      <c r="K524" s="114"/>
      <c r="M524" s="117"/>
      <c r="N524" s="114"/>
    </row>
    <row r="525" spans="10:14" x14ac:dyDescent="0.2">
      <c r="J525" s="116"/>
      <c r="K525" s="114"/>
      <c r="M525" s="117"/>
      <c r="N525" s="114"/>
    </row>
    <row r="526" spans="10:14" x14ac:dyDescent="0.2">
      <c r="J526" s="116"/>
      <c r="K526" s="114"/>
      <c r="M526" s="117"/>
      <c r="N526" s="114"/>
    </row>
    <row r="527" spans="10:14" x14ac:dyDescent="0.2">
      <c r="J527" s="116"/>
      <c r="K527" s="114"/>
      <c r="M527" s="117"/>
      <c r="N527" s="114"/>
    </row>
    <row r="528" spans="10:14" x14ac:dyDescent="0.2">
      <c r="J528" s="116"/>
      <c r="K528" s="114"/>
      <c r="M528" s="117"/>
      <c r="N528" s="114"/>
    </row>
    <row r="529" spans="10:14" x14ac:dyDescent="0.2">
      <c r="J529" s="116"/>
      <c r="K529" s="114"/>
      <c r="M529" s="117"/>
      <c r="N529" s="114"/>
    </row>
    <row r="530" spans="10:14" x14ac:dyDescent="0.2">
      <c r="J530" s="116"/>
      <c r="K530" s="114"/>
      <c r="M530" s="117"/>
      <c r="N530" s="114"/>
    </row>
    <row r="531" spans="10:14" x14ac:dyDescent="0.2">
      <c r="J531" s="116"/>
      <c r="K531" s="114"/>
      <c r="M531" s="117"/>
      <c r="N531" s="114"/>
    </row>
    <row r="532" spans="10:14" x14ac:dyDescent="0.2">
      <c r="J532" s="116"/>
      <c r="K532" s="114"/>
      <c r="M532" s="117"/>
      <c r="N532" s="114"/>
    </row>
    <row r="533" spans="10:14" x14ac:dyDescent="0.2">
      <c r="J533" s="116"/>
      <c r="K533" s="114"/>
      <c r="M533" s="117"/>
      <c r="N533" s="114"/>
    </row>
    <row r="534" spans="10:14" x14ac:dyDescent="0.2">
      <c r="J534" s="116"/>
      <c r="K534" s="114"/>
      <c r="M534" s="117"/>
      <c r="N534" s="114"/>
    </row>
    <row r="535" spans="10:14" x14ac:dyDescent="0.2">
      <c r="J535" s="116"/>
      <c r="K535" s="114"/>
      <c r="M535" s="117"/>
      <c r="N535" s="114"/>
    </row>
    <row r="536" spans="10:14" x14ac:dyDescent="0.2">
      <c r="J536" s="116"/>
      <c r="K536" s="114"/>
      <c r="M536" s="117"/>
      <c r="N536" s="114"/>
    </row>
    <row r="537" spans="10:14" x14ac:dyDescent="0.2">
      <c r="J537" s="116"/>
      <c r="K537" s="114"/>
      <c r="M537" s="117"/>
      <c r="N537" s="114"/>
    </row>
    <row r="538" spans="10:14" x14ac:dyDescent="0.2">
      <c r="J538" s="116"/>
      <c r="K538" s="114"/>
      <c r="M538" s="117"/>
      <c r="N538" s="114"/>
    </row>
    <row r="539" spans="10:14" x14ac:dyDescent="0.2">
      <c r="J539" s="116"/>
      <c r="K539" s="114"/>
      <c r="M539" s="117"/>
      <c r="N539" s="114"/>
    </row>
    <row r="540" spans="10:14" x14ac:dyDescent="0.2">
      <c r="J540" s="116"/>
      <c r="K540" s="114"/>
      <c r="M540" s="117"/>
      <c r="N540" s="114"/>
    </row>
    <row r="541" spans="10:14" x14ac:dyDescent="0.2">
      <c r="J541" s="116"/>
      <c r="K541" s="114"/>
      <c r="M541" s="117"/>
      <c r="N541" s="114"/>
    </row>
    <row r="542" spans="10:14" x14ac:dyDescent="0.2">
      <c r="J542" s="116"/>
      <c r="K542" s="114"/>
      <c r="M542" s="117"/>
      <c r="N542" s="114"/>
    </row>
    <row r="543" spans="10:14" x14ac:dyDescent="0.2">
      <c r="J543" s="116"/>
      <c r="K543" s="114"/>
      <c r="M543" s="117"/>
      <c r="N543" s="114"/>
    </row>
    <row r="544" spans="10:14" x14ac:dyDescent="0.2">
      <c r="J544" s="116"/>
      <c r="K544" s="114"/>
      <c r="M544" s="117"/>
      <c r="N544" s="114"/>
    </row>
    <row r="545" spans="10:14" x14ac:dyDescent="0.2">
      <c r="J545" s="116"/>
      <c r="K545" s="114"/>
      <c r="M545" s="117"/>
      <c r="N545" s="114"/>
    </row>
    <row r="546" spans="10:14" x14ac:dyDescent="0.2">
      <c r="J546" s="116"/>
      <c r="K546" s="114"/>
      <c r="M546" s="117"/>
      <c r="N546" s="114"/>
    </row>
    <row r="547" spans="10:14" x14ac:dyDescent="0.2">
      <c r="J547" s="116"/>
      <c r="K547" s="114"/>
      <c r="M547" s="117"/>
      <c r="N547" s="114"/>
    </row>
    <row r="548" spans="10:14" x14ac:dyDescent="0.2">
      <c r="J548" s="116"/>
      <c r="K548" s="114"/>
      <c r="M548" s="117"/>
      <c r="N548" s="114"/>
    </row>
    <row r="549" spans="10:14" x14ac:dyDescent="0.2">
      <c r="J549" s="116"/>
      <c r="K549" s="114"/>
      <c r="M549" s="117"/>
      <c r="N549" s="114"/>
    </row>
    <row r="550" spans="10:14" x14ac:dyDescent="0.2">
      <c r="J550" s="116"/>
      <c r="K550" s="114"/>
      <c r="M550" s="117"/>
      <c r="N550" s="114"/>
    </row>
    <row r="551" spans="10:14" x14ac:dyDescent="0.2">
      <c r="J551" s="116"/>
      <c r="K551" s="114"/>
      <c r="M551" s="117"/>
      <c r="N551" s="114"/>
    </row>
    <row r="552" spans="10:14" x14ac:dyDescent="0.2">
      <c r="J552" s="116"/>
      <c r="K552" s="114"/>
      <c r="M552" s="117"/>
      <c r="N552" s="114"/>
    </row>
    <row r="553" spans="10:14" x14ac:dyDescent="0.2">
      <c r="J553" s="116"/>
      <c r="K553" s="114"/>
      <c r="M553" s="117"/>
      <c r="N553" s="114"/>
    </row>
    <row r="554" spans="10:14" x14ac:dyDescent="0.2">
      <c r="J554" s="116"/>
      <c r="K554" s="114"/>
      <c r="M554" s="117"/>
      <c r="N554" s="114"/>
    </row>
    <row r="555" spans="10:14" x14ac:dyDescent="0.2">
      <c r="J555" s="116"/>
      <c r="K555" s="114"/>
      <c r="M555" s="117"/>
      <c r="N555" s="114"/>
    </row>
    <row r="556" spans="10:14" x14ac:dyDescent="0.2">
      <c r="J556" s="116"/>
      <c r="K556" s="114"/>
      <c r="M556" s="117"/>
      <c r="N556" s="114"/>
    </row>
    <row r="557" spans="10:14" x14ac:dyDescent="0.2">
      <c r="J557" s="116"/>
      <c r="K557" s="114"/>
      <c r="M557" s="117"/>
      <c r="N557" s="114"/>
    </row>
    <row r="558" spans="10:14" x14ac:dyDescent="0.2">
      <c r="J558" s="116"/>
      <c r="K558" s="114"/>
      <c r="M558" s="117"/>
      <c r="N558" s="114"/>
    </row>
    <row r="559" spans="10:14" x14ac:dyDescent="0.2">
      <c r="J559" s="116"/>
      <c r="K559" s="114"/>
      <c r="M559" s="117"/>
      <c r="N559" s="114"/>
    </row>
    <row r="560" spans="10:14" x14ac:dyDescent="0.2">
      <c r="J560" s="116"/>
      <c r="K560" s="114"/>
      <c r="M560" s="117"/>
      <c r="N560" s="114"/>
    </row>
    <row r="561" spans="10:14" x14ac:dyDescent="0.2">
      <c r="J561" s="116"/>
      <c r="K561" s="114"/>
      <c r="M561" s="117"/>
      <c r="N561" s="114"/>
    </row>
    <row r="562" spans="10:14" x14ac:dyDescent="0.2">
      <c r="J562" s="116"/>
      <c r="K562" s="114"/>
      <c r="M562" s="117"/>
      <c r="N562" s="114"/>
    </row>
    <row r="563" spans="10:14" x14ac:dyDescent="0.2">
      <c r="J563" s="116"/>
      <c r="K563" s="114"/>
      <c r="M563" s="117"/>
      <c r="N563" s="114"/>
    </row>
    <row r="564" spans="10:14" x14ac:dyDescent="0.2">
      <c r="J564" s="116"/>
      <c r="K564" s="114"/>
      <c r="M564" s="117"/>
      <c r="N564" s="114"/>
    </row>
    <row r="565" spans="10:14" x14ac:dyDescent="0.2">
      <c r="J565" s="116"/>
      <c r="K565" s="114"/>
      <c r="M565" s="117"/>
      <c r="N565" s="114"/>
    </row>
    <row r="566" spans="10:14" x14ac:dyDescent="0.2">
      <c r="J566" s="116"/>
      <c r="K566" s="114"/>
      <c r="M566" s="117"/>
      <c r="N566" s="114"/>
    </row>
    <row r="567" spans="10:14" x14ac:dyDescent="0.2">
      <c r="J567" s="116"/>
      <c r="K567" s="114"/>
      <c r="M567" s="117"/>
      <c r="N567" s="114"/>
    </row>
    <row r="568" spans="10:14" x14ac:dyDescent="0.2">
      <c r="J568" s="116"/>
      <c r="K568" s="114"/>
      <c r="M568" s="117"/>
      <c r="N568" s="114"/>
    </row>
    <row r="569" spans="10:14" x14ac:dyDescent="0.2">
      <c r="J569" s="116"/>
      <c r="K569" s="114"/>
      <c r="M569" s="117"/>
      <c r="N569" s="114"/>
    </row>
    <row r="570" spans="10:14" x14ac:dyDescent="0.2">
      <c r="J570" s="116"/>
      <c r="K570" s="114"/>
      <c r="M570" s="117"/>
      <c r="N570" s="114"/>
    </row>
    <row r="571" spans="10:14" x14ac:dyDescent="0.2">
      <c r="J571" s="116"/>
      <c r="K571" s="114"/>
      <c r="M571" s="117"/>
      <c r="N571" s="114"/>
    </row>
    <row r="572" spans="10:14" x14ac:dyDescent="0.2">
      <c r="J572" s="116"/>
      <c r="K572" s="114"/>
      <c r="M572" s="117"/>
      <c r="N572" s="114"/>
    </row>
    <row r="573" spans="10:14" x14ac:dyDescent="0.2">
      <c r="J573" s="116"/>
      <c r="K573" s="114"/>
      <c r="M573" s="117"/>
      <c r="N573" s="114"/>
    </row>
    <row r="574" spans="10:14" x14ac:dyDescent="0.2">
      <c r="J574" s="116"/>
      <c r="K574" s="114"/>
      <c r="M574" s="117"/>
      <c r="N574" s="114"/>
    </row>
    <row r="575" spans="10:14" x14ac:dyDescent="0.2">
      <c r="J575" s="116"/>
      <c r="K575" s="114"/>
      <c r="M575" s="117"/>
      <c r="N575" s="114"/>
    </row>
    <row r="576" spans="10:14" x14ac:dyDescent="0.2">
      <c r="J576" s="116"/>
      <c r="K576" s="114"/>
      <c r="M576" s="117"/>
      <c r="N576" s="114"/>
    </row>
    <row r="577" spans="10:14" x14ac:dyDescent="0.2">
      <c r="J577" s="116"/>
      <c r="K577" s="114"/>
      <c r="M577" s="117"/>
      <c r="N577" s="114"/>
    </row>
    <row r="578" spans="10:14" x14ac:dyDescent="0.2">
      <c r="J578" s="116"/>
      <c r="K578" s="114"/>
      <c r="M578" s="117"/>
      <c r="N578" s="114"/>
    </row>
    <row r="579" spans="10:14" x14ac:dyDescent="0.2">
      <c r="J579" s="116"/>
      <c r="K579" s="114"/>
      <c r="M579" s="117"/>
      <c r="N579" s="114"/>
    </row>
    <row r="580" spans="10:14" x14ac:dyDescent="0.2">
      <c r="J580" s="116"/>
      <c r="K580" s="114"/>
      <c r="M580" s="117"/>
      <c r="N580" s="114"/>
    </row>
    <row r="581" spans="10:14" x14ac:dyDescent="0.2">
      <c r="J581" s="116"/>
      <c r="K581" s="114"/>
      <c r="M581" s="117"/>
      <c r="N581" s="114"/>
    </row>
    <row r="582" spans="10:14" x14ac:dyDescent="0.2">
      <c r="J582" s="116"/>
      <c r="K582" s="114"/>
      <c r="M582" s="117"/>
      <c r="N582" s="114"/>
    </row>
    <row r="583" spans="10:14" x14ac:dyDescent="0.2">
      <c r="J583" s="116"/>
      <c r="K583" s="114"/>
      <c r="M583" s="117"/>
      <c r="N583" s="114"/>
    </row>
    <row r="584" spans="10:14" x14ac:dyDescent="0.2">
      <c r="J584" s="116"/>
      <c r="K584" s="114"/>
      <c r="M584" s="117"/>
      <c r="N584" s="114"/>
    </row>
    <row r="585" spans="10:14" x14ac:dyDescent="0.2">
      <c r="J585" s="116"/>
      <c r="K585" s="114"/>
      <c r="M585" s="117"/>
      <c r="N585" s="114"/>
    </row>
    <row r="586" spans="10:14" x14ac:dyDescent="0.2">
      <c r="J586" s="116"/>
      <c r="K586" s="114"/>
      <c r="M586" s="117"/>
      <c r="N586" s="114"/>
    </row>
    <row r="587" spans="10:14" x14ac:dyDescent="0.2">
      <c r="J587" s="116"/>
      <c r="K587" s="114"/>
      <c r="M587" s="117"/>
      <c r="N587" s="114"/>
    </row>
    <row r="588" spans="10:14" x14ac:dyDescent="0.2">
      <c r="J588" s="116"/>
      <c r="K588" s="114"/>
      <c r="M588" s="117"/>
      <c r="N588" s="114"/>
    </row>
    <row r="589" spans="10:14" x14ac:dyDescent="0.2">
      <c r="J589" s="116"/>
      <c r="K589" s="114"/>
      <c r="M589" s="117"/>
      <c r="N589" s="114"/>
    </row>
    <row r="590" spans="10:14" x14ac:dyDescent="0.2">
      <c r="J590" s="116"/>
      <c r="K590" s="114"/>
      <c r="M590" s="117"/>
      <c r="N590" s="114"/>
    </row>
    <row r="591" spans="10:14" x14ac:dyDescent="0.2">
      <c r="J591" s="116"/>
      <c r="K591" s="114"/>
      <c r="M591" s="117"/>
      <c r="N591" s="114"/>
    </row>
    <row r="592" spans="10:14" x14ac:dyDescent="0.2">
      <c r="J592" s="116"/>
      <c r="K592" s="114"/>
      <c r="M592" s="117"/>
      <c r="N592" s="114"/>
    </row>
    <row r="593" spans="10:14" x14ac:dyDescent="0.2">
      <c r="J593" s="116"/>
      <c r="K593" s="114"/>
      <c r="M593" s="117"/>
      <c r="N593" s="114"/>
    </row>
    <row r="594" spans="10:14" x14ac:dyDescent="0.2">
      <c r="J594" s="116"/>
      <c r="K594" s="114"/>
      <c r="M594" s="117"/>
      <c r="N594" s="114"/>
    </row>
    <row r="595" spans="10:14" x14ac:dyDescent="0.2">
      <c r="J595" s="116"/>
      <c r="K595" s="114"/>
      <c r="M595" s="117"/>
      <c r="N595" s="114"/>
    </row>
    <row r="596" spans="10:14" x14ac:dyDescent="0.2">
      <c r="J596" s="116"/>
      <c r="K596" s="114"/>
      <c r="M596" s="117"/>
      <c r="N596" s="114"/>
    </row>
    <row r="597" spans="10:14" x14ac:dyDescent="0.2">
      <c r="J597" s="116"/>
      <c r="K597" s="114"/>
      <c r="M597" s="117"/>
      <c r="N597" s="114"/>
    </row>
    <row r="598" spans="10:14" x14ac:dyDescent="0.2">
      <c r="J598" s="116"/>
      <c r="K598" s="114"/>
      <c r="M598" s="117"/>
      <c r="N598" s="114"/>
    </row>
    <row r="599" spans="10:14" x14ac:dyDescent="0.2">
      <c r="J599" s="116"/>
      <c r="K599" s="114"/>
      <c r="M599" s="117"/>
      <c r="N599" s="114"/>
    </row>
    <row r="600" spans="10:14" x14ac:dyDescent="0.2">
      <c r="J600" s="116"/>
      <c r="K600" s="114"/>
      <c r="M600" s="117"/>
      <c r="N600" s="114"/>
    </row>
    <row r="601" spans="10:14" x14ac:dyDescent="0.2">
      <c r="J601" s="116"/>
      <c r="K601" s="114"/>
      <c r="M601" s="117"/>
      <c r="N601" s="114"/>
    </row>
    <row r="602" spans="10:14" x14ac:dyDescent="0.2">
      <c r="J602" s="116"/>
      <c r="K602" s="114"/>
      <c r="M602" s="117"/>
      <c r="N602" s="114"/>
    </row>
    <row r="603" spans="10:14" x14ac:dyDescent="0.2">
      <c r="J603" s="116"/>
      <c r="K603" s="114"/>
      <c r="M603" s="117"/>
      <c r="N603" s="114"/>
    </row>
    <row r="604" spans="10:14" x14ac:dyDescent="0.2">
      <c r="J604" s="116"/>
      <c r="K604" s="114"/>
      <c r="M604" s="117"/>
      <c r="N604" s="114"/>
    </row>
    <row r="605" spans="10:14" x14ac:dyDescent="0.2">
      <c r="J605" s="116"/>
      <c r="K605" s="114"/>
      <c r="M605" s="117"/>
      <c r="N605" s="114"/>
    </row>
    <row r="606" spans="10:14" x14ac:dyDescent="0.2">
      <c r="J606" s="116"/>
      <c r="K606" s="114"/>
      <c r="M606" s="117"/>
      <c r="N606" s="114"/>
    </row>
    <row r="607" spans="10:14" x14ac:dyDescent="0.2">
      <c r="J607" s="116"/>
      <c r="K607" s="114"/>
      <c r="M607" s="117"/>
      <c r="N607" s="114"/>
    </row>
    <row r="608" spans="10:14" x14ac:dyDescent="0.2">
      <c r="J608" s="116"/>
      <c r="K608" s="114"/>
      <c r="M608" s="117"/>
      <c r="N608" s="114"/>
    </row>
    <row r="609" spans="10:14" x14ac:dyDescent="0.2">
      <c r="J609" s="116"/>
      <c r="K609" s="114"/>
      <c r="M609" s="117"/>
      <c r="N609" s="114"/>
    </row>
    <row r="610" spans="10:14" x14ac:dyDescent="0.2">
      <c r="J610" s="116"/>
      <c r="K610" s="114"/>
      <c r="M610" s="117"/>
      <c r="N610" s="114"/>
    </row>
    <row r="611" spans="10:14" x14ac:dyDescent="0.2">
      <c r="J611" s="116"/>
      <c r="K611" s="114"/>
      <c r="M611" s="117"/>
      <c r="N611" s="114"/>
    </row>
    <row r="612" spans="10:14" x14ac:dyDescent="0.2">
      <c r="J612" s="116"/>
      <c r="K612" s="114"/>
      <c r="M612" s="117"/>
      <c r="N612" s="114"/>
    </row>
    <row r="613" spans="10:14" x14ac:dyDescent="0.2">
      <c r="J613" s="116"/>
      <c r="K613" s="114"/>
      <c r="M613" s="117"/>
      <c r="N613" s="114"/>
    </row>
    <row r="614" spans="10:14" x14ac:dyDescent="0.2">
      <c r="J614" s="116"/>
      <c r="K614" s="114"/>
      <c r="M614" s="117"/>
      <c r="N614" s="114"/>
    </row>
    <row r="615" spans="10:14" x14ac:dyDescent="0.2">
      <c r="J615" s="116"/>
      <c r="K615" s="114"/>
      <c r="M615" s="117"/>
      <c r="N615" s="114"/>
    </row>
    <row r="616" spans="10:14" x14ac:dyDescent="0.2">
      <c r="J616" s="116"/>
      <c r="K616" s="114"/>
      <c r="M616" s="117"/>
      <c r="N616" s="114"/>
    </row>
    <row r="617" spans="10:14" x14ac:dyDescent="0.2">
      <c r="J617" s="116"/>
      <c r="K617" s="114"/>
      <c r="M617" s="117"/>
      <c r="N617" s="114"/>
    </row>
    <row r="618" spans="10:14" x14ac:dyDescent="0.2">
      <c r="J618" s="116"/>
      <c r="K618" s="114"/>
      <c r="M618" s="117"/>
      <c r="N618" s="114"/>
    </row>
    <row r="619" spans="10:14" x14ac:dyDescent="0.2">
      <c r="J619" s="116"/>
      <c r="K619" s="114"/>
      <c r="M619" s="117"/>
      <c r="N619" s="114"/>
    </row>
    <row r="620" spans="10:14" x14ac:dyDescent="0.2">
      <c r="J620" s="116"/>
      <c r="K620" s="114"/>
      <c r="M620" s="117"/>
      <c r="N620" s="114"/>
    </row>
    <row r="621" spans="10:14" x14ac:dyDescent="0.2">
      <c r="J621" s="116"/>
      <c r="K621" s="114"/>
      <c r="M621" s="117"/>
      <c r="N621" s="114"/>
    </row>
    <row r="622" spans="10:14" x14ac:dyDescent="0.2">
      <c r="J622" s="116"/>
      <c r="K622" s="114"/>
      <c r="M622" s="117"/>
      <c r="N622" s="114"/>
    </row>
    <row r="623" spans="10:14" x14ac:dyDescent="0.2">
      <c r="J623" s="116"/>
      <c r="K623" s="114"/>
      <c r="M623" s="117"/>
      <c r="N623" s="114"/>
    </row>
    <row r="624" spans="10:14" x14ac:dyDescent="0.2">
      <c r="J624" s="116"/>
      <c r="K624" s="114"/>
      <c r="M624" s="117"/>
      <c r="N624" s="114"/>
    </row>
    <row r="625" spans="10:14" x14ac:dyDescent="0.2">
      <c r="J625" s="116"/>
      <c r="K625" s="114"/>
      <c r="M625" s="117"/>
      <c r="N625" s="114"/>
    </row>
    <row r="626" spans="10:14" x14ac:dyDescent="0.2">
      <c r="J626" s="116"/>
      <c r="K626" s="114"/>
      <c r="M626" s="117"/>
      <c r="N626" s="114"/>
    </row>
    <row r="627" spans="10:14" x14ac:dyDescent="0.2">
      <c r="J627" s="116"/>
      <c r="K627" s="114"/>
      <c r="M627" s="117"/>
      <c r="N627" s="114"/>
    </row>
    <row r="628" spans="10:14" x14ac:dyDescent="0.2">
      <c r="J628" s="116"/>
      <c r="K628" s="114"/>
      <c r="M628" s="117"/>
      <c r="N628" s="114"/>
    </row>
    <row r="629" spans="10:14" x14ac:dyDescent="0.2">
      <c r="J629" s="116"/>
      <c r="K629" s="114"/>
      <c r="M629" s="117"/>
      <c r="N629" s="114"/>
    </row>
    <row r="630" spans="10:14" x14ac:dyDescent="0.2">
      <c r="J630" s="116"/>
      <c r="K630" s="114"/>
      <c r="M630" s="117"/>
      <c r="N630" s="114"/>
    </row>
    <row r="631" spans="10:14" x14ac:dyDescent="0.2">
      <c r="J631" s="116"/>
      <c r="K631" s="114"/>
      <c r="M631" s="117"/>
      <c r="N631" s="114"/>
    </row>
    <row r="632" spans="10:14" x14ac:dyDescent="0.2">
      <c r="J632" s="116"/>
      <c r="K632" s="114"/>
      <c r="M632" s="117"/>
      <c r="N632" s="114"/>
    </row>
    <row r="633" spans="10:14" x14ac:dyDescent="0.2">
      <c r="J633" s="116"/>
      <c r="K633" s="114"/>
      <c r="M633" s="117"/>
      <c r="N633" s="114"/>
    </row>
    <row r="634" spans="10:14" x14ac:dyDescent="0.2">
      <c r="J634" s="116"/>
      <c r="K634" s="114"/>
      <c r="M634" s="117"/>
      <c r="N634" s="114"/>
    </row>
    <row r="635" spans="10:14" x14ac:dyDescent="0.2">
      <c r="J635" s="116"/>
      <c r="K635" s="114"/>
      <c r="M635" s="117"/>
      <c r="N635" s="114"/>
    </row>
    <row r="636" spans="10:14" x14ac:dyDescent="0.2">
      <c r="J636" s="116"/>
      <c r="K636" s="114"/>
      <c r="M636" s="117"/>
      <c r="N636" s="114"/>
    </row>
    <row r="637" spans="10:14" x14ac:dyDescent="0.2">
      <c r="J637" s="116"/>
      <c r="K637" s="114"/>
      <c r="M637" s="117"/>
      <c r="N637" s="114"/>
    </row>
    <row r="638" spans="10:14" x14ac:dyDescent="0.2">
      <c r="J638" s="116"/>
      <c r="K638" s="114"/>
      <c r="M638" s="117"/>
      <c r="N638" s="114"/>
    </row>
    <row r="639" spans="10:14" x14ac:dyDescent="0.2">
      <c r="J639" s="116"/>
      <c r="K639" s="114"/>
      <c r="M639" s="117"/>
      <c r="N639" s="114"/>
    </row>
    <row r="640" spans="10:14" x14ac:dyDescent="0.2">
      <c r="J640" s="116"/>
      <c r="K640" s="114"/>
      <c r="M640" s="117"/>
      <c r="N640" s="114"/>
    </row>
    <row r="641" spans="10:14" x14ac:dyDescent="0.2">
      <c r="J641" s="116"/>
      <c r="K641" s="114"/>
      <c r="M641" s="117"/>
      <c r="N641" s="114"/>
    </row>
    <row r="642" spans="10:14" x14ac:dyDescent="0.2">
      <c r="J642" s="116"/>
      <c r="K642" s="114"/>
      <c r="M642" s="117"/>
      <c r="N642" s="114"/>
    </row>
    <row r="643" spans="10:14" x14ac:dyDescent="0.2">
      <c r="J643" s="116"/>
      <c r="K643" s="114"/>
      <c r="M643" s="117"/>
      <c r="N643" s="114"/>
    </row>
    <row r="644" spans="10:14" x14ac:dyDescent="0.2">
      <c r="J644" s="116"/>
      <c r="K644" s="114"/>
      <c r="M644" s="117"/>
      <c r="N644" s="114"/>
    </row>
  </sheetData>
  <mergeCells count="10">
    <mergeCell ref="A4:Q4"/>
    <mergeCell ref="A1:O1"/>
    <mergeCell ref="A2:O2"/>
    <mergeCell ref="A3:O3"/>
    <mergeCell ref="A14:A16"/>
    <mergeCell ref="I14:K14"/>
    <mergeCell ref="B14:H14"/>
    <mergeCell ref="L14:O14"/>
    <mergeCell ref="A6:O6"/>
    <mergeCell ref="A7:O7"/>
  </mergeCells>
  <phoneticPr fontId="2" type="noConversion"/>
  <printOptions horizontalCentered="1"/>
  <pageMargins left="0.75" right="0.75" top="1" bottom="1" header="0" footer="0"/>
  <pageSetup scale="60" orientation="landscape" r:id="rId1"/>
  <headerFooter alignWithMargins="0">
    <oddFooter>&amp;RFSCI 7.5.9.B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228600</xdr:colOff>
                <xdr:row>0</xdr:row>
                <xdr:rowOff>142875</xdr:rowOff>
              </from>
              <to>
                <xdr:col>1</xdr:col>
                <xdr:colOff>66675</xdr:colOff>
                <xdr:row>7</xdr:row>
                <xdr:rowOff>47625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topLeftCell="O11" zoomScaleNormal="100" workbookViewId="0">
      <selection activeCell="AM11" sqref="AM11"/>
    </sheetView>
  </sheetViews>
  <sheetFormatPr baseColWidth="10" defaultRowHeight="12.75" x14ac:dyDescent="0.2"/>
  <cols>
    <col min="1" max="1" width="19.85546875" style="169" bestFit="1" customWidth="1"/>
    <col min="2" max="2" width="11" style="169" bestFit="1" customWidth="1"/>
    <col min="3" max="3" width="10.5703125" style="169" bestFit="1" customWidth="1"/>
    <col min="4" max="4" width="14.85546875" style="169" bestFit="1" customWidth="1"/>
    <col min="5" max="5" width="10.28515625" style="169" customWidth="1"/>
    <col min="6" max="6" width="11.5703125" style="169" customWidth="1"/>
    <col min="7" max="7" width="10.5703125" style="169" customWidth="1"/>
    <col min="8" max="8" width="16.42578125" style="169" bestFit="1" customWidth="1"/>
    <col min="9" max="9" width="22.85546875" style="169" bestFit="1" customWidth="1"/>
    <col min="10" max="10" width="22.42578125" style="169" bestFit="1" customWidth="1"/>
    <col min="11" max="11" width="12.42578125" style="169" customWidth="1"/>
    <col min="12" max="12" width="10.28515625" style="169" customWidth="1"/>
    <col min="13" max="13" width="10.5703125" style="169" customWidth="1"/>
    <col min="14" max="14" width="11.7109375" style="169" customWidth="1"/>
    <col min="15" max="15" width="24.28515625" style="169" bestFit="1" customWidth="1"/>
    <col min="16" max="16" width="13.42578125" style="169" customWidth="1"/>
    <col min="17" max="18" width="10.42578125" style="169" customWidth="1"/>
    <col min="19" max="19" width="13.85546875" style="169" bestFit="1" customWidth="1"/>
    <col min="20" max="20" width="11" style="169" bestFit="1" customWidth="1"/>
    <col min="21" max="21" width="9.5703125" style="169" hidden="1" customWidth="1"/>
    <col min="22" max="23" width="19.140625" style="169" hidden="1" customWidth="1"/>
    <col min="24" max="24" width="16.85546875" style="169" hidden="1" customWidth="1"/>
    <col min="25" max="26" width="14.140625" style="169" hidden="1" customWidth="1"/>
    <col min="27" max="27" width="9.42578125" style="169" hidden="1" customWidth="1"/>
    <col min="28" max="31" width="15.42578125" style="169" hidden="1" customWidth="1"/>
    <col min="32" max="36" width="10.140625" style="169" hidden="1" customWidth="1"/>
    <col min="37" max="38" width="11.7109375" style="169" bestFit="1" customWidth="1"/>
    <col min="39" max="39" width="17" style="169" customWidth="1"/>
    <col min="40" max="40" width="14.7109375" style="169" customWidth="1"/>
    <col min="41" max="41" width="14.5703125" style="169" bestFit="1" customWidth="1"/>
    <col min="42" max="42" width="8.85546875" style="169" bestFit="1" customWidth="1"/>
    <col min="43" max="43" width="13.85546875" style="169" customWidth="1"/>
    <col min="44" max="44" width="6.42578125" style="169" bestFit="1" customWidth="1"/>
    <col min="45" max="45" width="13.140625" style="169" bestFit="1" customWidth="1"/>
    <col min="46" max="46" width="6.7109375" style="169" bestFit="1" customWidth="1"/>
    <col min="47" max="47" width="11.5703125" style="169" bestFit="1" customWidth="1"/>
    <col min="48" max="16384" width="11.42578125" style="169"/>
  </cols>
  <sheetData>
    <row r="1" spans="1:47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776"/>
      <c r="AC1" s="776"/>
      <c r="AD1" s="776"/>
      <c r="AE1" s="776"/>
      <c r="AF1" s="776"/>
      <c r="AG1" s="776"/>
      <c r="AH1" s="776"/>
      <c r="AI1" s="776"/>
      <c r="AJ1" s="776"/>
      <c r="AK1" s="776"/>
      <c r="AL1" s="776"/>
      <c r="AM1" s="776"/>
      <c r="AN1" s="776"/>
      <c r="AO1" s="776"/>
      <c r="AP1" s="776"/>
      <c r="AQ1" s="776"/>
    </row>
    <row r="2" spans="1:47" x14ac:dyDescent="0.2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</row>
    <row r="3" spans="1:47" x14ac:dyDescent="0.2">
      <c r="A3" s="168" t="s">
        <v>9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</row>
    <row r="4" spans="1:47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</row>
    <row r="5" spans="1:47" x14ac:dyDescent="0.2">
      <c r="A5" s="665"/>
      <c r="B5" s="665"/>
      <c r="C5" s="665"/>
      <c r="D5" s="665"/>
      <c r="E5" s="665"/>
      <c r="F5" s="665"/>
      <c r="G5" s="665"/>
      <c r="H5" s="665"/>
      <c r="I5" s="168"/>
    </row>
    <row r="6" spans="1:47" x14ac:dyDescent="0.2">
      <c r="A6" s="666" t="s">
        <v>1</v>
      </c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</row>
    <row r="7" spans="1:47" x14ac:dyDescent="0.2">
      <c r="A7" s="667" t="s">
        <v>244</v>
      </c>
      <c r="B7" s="667"/>
      <c r="C7" s="667"/>
      <c r="D7" s="667"/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67"/>
      <c r="AP7" s="667"/>
      <c r="AQ7" s="667"/>
    </row>
    <row r="8" spans="1:47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</row>
    <row r="9" spans="1:47" s="185" customFormat="1" ht="24" x14ac:dyDescent="0.2">
      <c r="A9" s="172" t="s">
        <v>44</v>
      </c>
      <c r="B9" s="691" t="s">
        <v>245</v>
      </c>
      <c r="C9" s="691" t="s">
        <v>246</v>
      </c>
      <c r="D9" s="691" t="s">
        <v>247</v>
      </c>
      <c r="E9" s="691" t="s">
        <v>248</v>
      </c>
      <c r="F9" s="691" t="s">
        <v>249</v>
      </c>
      <c r="G9" s="691" t="s">
        <v>250</v>
      </c>
      <c r="H9" s="691" t="s">
        <v>251</v>
      </c>
      <c r="I9" s="691" t="s">
        <v>252</v>
      </c>
      <c r="J9" s="691" t="s">
        <v>253</v>
      </c>
      <c r="K9" s="691" t="s">
        <v>254</v>
      </c>
      <c r="L9" s="691" t="s">
        <v>255</v>
      </c>
      <c r="M9" s="691" t="s">
        <v>256</v>
      </c>
      <c r="N9" s="691" t="s">
        <v>257</v>
      </c>
      <c r="O9" s="691" t="s">
        <v>258</v>
      </c>
      <c r="P9" s="691" t="s">
        <v>259</v>
      </c>
      <c r="Q9" s="691" t="s">
        <v>260</v>
      </c>
      <c r="R9" s="691" t="s">
        <v>261</v>
      </c>
      <c r="S9" s="691" t="s">
        <v>262</v>
      </c>
      <c r="T9" s="691" t="s">
        <v>263</v>
      </c>
      <c r="U9" s="184" t="s">
        <v>219</v>
      </c>
      <c r="V9" s="184" t="s">
        <v>220</v>
      </c>
      <c r="W9" s="184" t="s">
        <v>221</v>
      </c>
      <c r="X9" s="184" t="s">
        <v>222</v>
      </c>
      <c r="Y9" s="184" t="s">
        <v>223</v>
      </c>
      <c r="Z9" s="184" t="s">
        <v>224</v>
      </c>
      <c r="AA9" s="184" t="s">
        <v>225</v>
      </c>
      <c r="AB9" s="184" t="s">
        <v>226</v>
      </c>
      <c r="AC9" s="184" t="s">
        <v>227</v>
      </c>
      <c r="AD9" s="184" t="s">
        <v>228</v>
      </c>
      <c r="AE9" s="184" t="s">
        <v>229</v>
      </c>
      <c r="AF9" s="184" t="s">
        <v>230</v>
      </c>
      <c r="AG9" s="184" t="s">
        <v>231</v>
      </c>
      <c r="AH9" s="184" t="s">
        <v>232</v>
      </c>
      <c r="AI9" s="184" t="s">
        <v>233</v>
      </c>
      <c r="AJ9" s="184" t="s">
        <v>234</v>
      </c>
      <c r="AK9" s="782" t="s">
        <v>53</v>
      </c>
      <c r="AL9" s="783"/>
      <c r="AM9" s="784" t="s">
        <v>54</v>
      </c>
      <c r="AN9" s="784"/>
      <c r="AO9" s="214" t="s">
        <v>50</v>
      </c>
      <c r="AP9" s="785" t="s">
        <v>71</v>
      </c>
      <c r="AQ9" s="786"/>
    </row>
    <row r="10" spans="1:47" x14ac:dyDescent="0.2">
      <c r="A10" s="172"/>
      <c r="B10" s="780" t="s">
        <v>68</v>
      </c>
      <c r="C10" s="781"/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1"/>
      <c r="O10" s="781"/>
      <c r="P10" s="781"/>
      <c r="Q10" s="781"/>
      <c r="R10" s="781"/>
      <c r="S10" s="781"/>
      <c r="T10" s="781"/>
      <c r="U10" s="781"/>
      <c r="V10" s="781"/>
      <c r="W10" s="781"/>
      <c r="X10" s="781"/>
      <c r="Y10" s="781"/>
      <c r="Z10" s="353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75"/>
      <c r="AL10" s="175"/>
      <c r="AM10" s="175"/>
      <c r="AN10" s="175"/>
      <c r="AO10" s="187"/>
      <c r="AP10" s="188" t="s">
        <v>52</v>
      </c>
      <c r="AQ10" s="189" t="s">
        <v>72</v>
      </c>
    </row>
    <row r="11" spans="1:47" x14ac:dyDescent="0.2">
      <c r="A11" s="294">
        <v>20130301</v>
      </c>
      <c r="B11" s="176">
        <v>81</v>
      </c>
      <c r="C11" s="176">
        <v>7380</v>
      </c>
      <c r="D11" s="176">
        <v>992</v>
      </c>
      <c r="E11" s="176">
        <v>3092</v>
      </c>
      <c r="F11" s="176">
        <v>14</v>
      </c>
      <c r="G11" s="176">
        <v>12251</v>
      </c>
      <c r="H11" s="176">
        <v>1135</v>
      </c>
      <c r="I11" s="176">
        <v>11727</v>
      </c>
      <c r="J11" s="176">
        <v>1492</v>
      </c>
      <c r="K11" s="176">
        <v>14284</v>
      </c>
      <c r="L11" s="176">
        <v>1663</v>
      </c>
      <c r="M11" s="176">
        <v>160</v>
      </c>
      <c r="N11" s="176">
        <v>10532</v>
      </c>
      <c r="O11" s="176">
        <v>8966</v>
      </c>
      <c r="P11" s="176">
        <v>2832</v>
      </c>
      <c r="Q11" s="176">
        <v>121</v>
      </c>
      <c r="R11" s="176">
        <v>1661</v>
      </c>
      <c r="S11" s="176">
        <v>5655</v>
      </c>
      <c r="T11" s="176">
        <v>6904</v>
      </c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>
        <f>SUM(B11:AJ11)</f>
        <v>90942</v>
      </c>
      <c r="AL11" s="176">
        <f>AVERAGE($AK$11:$AK$17)</f>
        <v>86288.28571428571</v>
      </c>
      <c r="AM11" s="176">
        <v>85529</v>
      </c>
      <c r="AN11" s="176">
        <f>AVERAGE($AM$11:$AM$17)</f>
        <v>85515</v>
      </c>
      <c r="AO11" s="176">
        <v>85529</v>
      </c>
      <c r="AP11" s="190">
        <f>(AM11-AK11)/AM11</f>
        <v>-6.3288475254007409E-2</v>
      </c>
      <c r="AQ11" s="190">
        <f>(AO11-AM11)/AO11</f>
        <v>0</v>
      </c>
      <c r="AR11" s="116"/>
      <c r="AS11" s="191"/>
      <c r="AT11" s="191"/>
      <c r="AU11" s="191"/>
    </row>
    <row r="12" spans="1:47" x14ac:dyDescent="0.2">
      <c r="A12" s="294">
        <v>20130302</v>
      </c>
      <c r="B12" s="176">
        <v>38</v>
      </c>
      <c r="C12" s="176">
        <v>4009</v>
      </c>
      <c r="D12" s="176">
        <v>144</v>
      </c>
      <c r="E12" s="176">
        <v>982</v>
      </c>
      <c r="F12" s="176">
        <v>26</v>
      </c>
      <c r="G12" s="176">
        <v>9583</v>
      </c>
      <c r="H12" s="176">
        <v>1182</v>
      </c>
      <c r="I12" s="176">
        <v>11772</v>
      </c>
      <c r="J12" s="176">
        <v>367</v>
      </c>
      <c r="K12" s="176">
        <v>4417</v>
      </c>
      <c r="L12" s="176">
        <v>81</v>
      </c>
      <c r="M12" s="176">
        <v>0</v>
      </c>
      <c r="N12" s="176">
        <v>9440</v>
      </c>
      <c r="O12" s="176">
        <v>6668</v>
      </c>
      <c r="P12" s="176">
        <v>214</v>
      </c>
      <c r="Q12" s="176">
        <v>51</v>
      </c>
      <c r="R12" s="176">
        <v>564</v>
      </c>
      <c r="S12" s="176">
        <v>6599</v>
      </c>
      <c r="T12" s="176">
        <v>193</v>
      </c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>
        <f t="shared" ref="AK12:AK41" si="0">SUM(B12:AJ12)</f>
        <v>56330</v>
      </c>
      <c r="AL12" s="176">
        <f t="shared" ref="AL12:AL17" si="1">AVERAGE($AK$11:$AK$17)</f>
        <v>86288.28571428571</v>
      </c>
      <c r="AM12" s="176">
        <v>56330</v>
      </c>
      <c r="AN12" s="176">
        <f t="shared" ref="AN12:AN17" si="2">AVERAGE($AM$11:$AM$17)</f>
        <v>85515</v>
      </c>
      <c r="AO12" s="176">
        <v>56330</v>
      </c>
      <c r="AP12" s="190">
        <f t="shared" ref="AP12:AP41" si="3">(AM12-AK12)/AM12</f>
        <v>0</v>
      </c>
      <c r="AQ12" s="190">
        <f t="shared" ref="AQ12:AQ41" si="4">(AO12-AM12)/AO12</f>
        <v>0</v>
      </c>
      <c r="AR12" s="116"/>
      <c r="AS12" s="192"/>
      <c r="AT12" s="193"/>
    </row>
    <row r="13" spans="1:47" x14ac:dyDescent="0.2">
      <c r="A13" s="294">
        <v>20130303</v>
      </c>
      <c r="B13" s="176">
        <v>9</v>
      </c>
      <c r="C13" s="176">
        <v>619</v>
      </c>
      <c r="D13" s="176">
        <v>792</v>
      </c>
      <c r="E13" s="176">
        <v>873</v>
      </c>
      <c r="F13" s="176">
        <v>1968</v>
      </c>
      <c r="G13" s="176">
        <v>7334</v>
      </c>
      <c r="H13" s="176">
        <v>1088</v>
      </c>
      <c r="I13" s="176">
        <v>10242</v>
      </c>
      <c r="J13" s="176">
        <v>239</v>
      </c>
      <c r="K13" s="176">
        <v>3878</v>
      </c>
      <c r="L13" s="176">
        <v>261</v>
      </c>
      <c r="M13" s="176">
        <v>0</v>
      </c>
      <c r="N13" s="176">
        <v>9745</v>
      </c>
      <c r="O13" s="176">
        <v>6320</v>
      </c>
      <c r="P13" s="176">
        <v>844</v>
      </c>
      <c r="Q13" s="176">
        <v>20</v>
      </c>
      <c r="R13" s="176">
        <v>0</v>
      </c>
      <c r="S13" s="176">
        <v>6391</v>
      </c>
      <c r="T13" s="176">
        <v>220</v>
      </c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>
        <f t="shared" si="0"/>
        <v>50843</v>
      </c>
      <c r="AL13" s="176">
        <f t="shared" si="1"/>
        <v>86288.28571428571</v>
      </c>
      <c r="AM13" s="176">
        <v>50843</v>
      </c>
      <c r="AN13" s="176">
        <f t="shared" si="2"/>
        <v>85515</v>
      </c>
      <c r="AO13" s="176">
        <v>50843</v>
      </c>
      <c r="AP13" s="190">
        <f t="shared" si="3"/>
        <v>0</v>
      </c>
      <c r="AQ13" s="190">
        <f t="shared" si="4"/>
        <v>0</v>
      </c>
      <c r="AR13" s="116"/>
      <c r="AS13" s="192"/>
      <c r="AT13" s="193"/>
    </row>
    <row r="14" spans="1:47" x14ac:dyDescent="0.2">
      <c r="A14" s="294">
        <v>20130304</v>
      </c>
      <c r="B14" s="176">
        <v>87</v>
      </c>
      <c r="C14" s="176">
        <v>5907</v>
      </c>
      <c r="D14" s="176">
        <v>1779</v>
      </c>
      <c r="E14" s="176">
        <v>3952</v>
      </c>
      <c r="F14" s="176">
        <v>4730</v>
      </c>
      <c r="G14" s="176">
        <v>9132</v>
      </c>
      <c r="H14" s="176">
        <v>1042</v>
      </c>
      <c r="I14" s="176">
        <v>11912</v>
      </c>
      <c r="J14" s="176">
        <v>1471</v>
      </c>
      <c r="K14" s="176">
        <v>22517</v>
      </c>
      <c r="L14" s="176">
        <v>1971</v>
      </c>
      <c r="M14" s="176">
        <v>446</v>
      </c>
      <c r="N14" s="176">
        <v>10137</v>
      </c>
      <c r="O14" s="176">
        <v>10917</v>
      </c>
      <c r="P14" s="176">
        <v>3085</v>
      </c>
      <c r="Q14" s="176">
        <v>413</v>
      </c>
      <c r="R14" s="176">
        <v>362</v>
      </c>
      <c r="S14" s="176">
        <v>6235</v>
      </c>
      <c r="T14" s="176">
        <v>4266</v>
      </c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>
        <f t="shared" si="0"/>
        <v>100361</v>
      </c>
      <c r="AL14" s="176">
        <f>AVERAGE($AK$11:$AK$17)</f>
        <v>86288.28571428571</v>
      </c>
      <c r="AM14" s="176">
        <v>100361</v>
      </c>
      <c r="AN14" s="176">
        <f t="shared" si="2"/>
        <v>85515</v>
      </c>
      <c r="AO14" s="176">
        <v>100361</v>
      </c>
      <c r="AP14" s="190">
        <f t="shared" si="3"/>
        <v>0</v>
      </c>
      <c r="AQ14" s="190">
        <f t="shared" si="4"/>
        <v>0</v>
      </c>
      <c r="AR14" s="116"/>
      <c r="AS14" s="192"/>
      <c r="AT14" s="193"/>
    </row>
    <row r="15" spans="1:47" x14ac:dyDescent="0.2">
      <c r="A15" s="294">
        <v>20130305</v>
      </c>
      <c r="B15" s="176">
        <v>69</v>
      </c>
      <c r="C15" s="176">
        <v>6557</v>
      </c>
      <c r="D15" s="176">
        <v>1643</v>
      </c>
      <c r="E15" s="176">
        <v>3792</v>
      </c>
      <c r="F15" s="176">
        <v>5021</v>
      </c>
      <c r="G15" s="176">
        <v>9647</v>
      </c>
      <c r="H15" s="176">
        <v>1092</v>
      </c>
      <c r="I15" s="176">
        <v>11520</v>
      </c>
      <c r="J15" s="176">
        <v>1372</v>
      </c>
      <c r="K15" s="176">
        <v>26107</v>
      </c>
      <c r="L15" s="176">
        <v>1886</v>
      </c>
      <c r="M15" s="176">
        <v>574</v>
      </c>
      <c r="N15" s="176">
        <v>10618</v>
      </c>
      <c r="O15" s="176">
        <v>11179</v>
      </c>
      <c r="P15" s="176">
        <v>2920</v>
      </c>
      <c r="Q15" s="176">
        <v>404</v>
      </c>
      <c r="R15" s="176">
        <v>1622</v>
      </c>
      <c r="S15" s="176">
        <v>5700</v>
      </c>
      <c r="T15" s="176">
        <v>6691</v>
      </c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>
        <f t="shared" si="0"/>
        <v>108414</v>
      </c>
      <c r="AL15" s="176">
        <f t="shared" si="1"/>
        <v>86288.28571428571</v>
      </c>
      <c r="AM15" s="176">
        <v>108414</v>
      </c>
      <c r="AN15" s="176">
        <f t="shared" si="2"/>
        <v>85515</v>
      </c>
      <c r="AO15" s="176">
        <v>108414</v>
      </c>
      <c r="AP15" s="190">
        <f t="shared" si="3"/>
        <v>0</v>
      </c>
      <c r="AQ15" s="190">
        <f t="shared" si="4"/>
        <v>0</v>
      </c>
      <c r="AR15" s="116"/>
      <c r="AS15" s="192"/>
      <c r="AT15" s="193"/>
    </row>
    <row r="16" spans="1:47" x14ac:dyDescent="0.2">
      <c r="A16" s="294">
        <v>20130306</v>
      </c>
      <c r="B16" s="176">
        <v>0</v>
      </c>
      <c r="C16" s="176">
        <v>7109</v>
      </c>
      <c r="D16" s="176">
        <v>1548</v>
      </c>
      <c r="E16" s="176">
        <v>2997</v>
      </c>
      <c r="F16" s="176">
        <v>4966</v>
      </c>
      <c r="G16" s="176">
        <v>8511</v>
      </c>
      <c r="H16" s="176">
        <v>1102</v>
      </c>
      <c r="I16" s="176">
        <v>11426</v>
      </c>
      <c r="J16" s="176">
        <v>1495</v>
      </c>
      <c r="K16" s="176">
        <v>20523</v>
      </c>
      <c r="L16" s="176">
        <v>1855</v>
      </c>
      <c r="M16" s="176">
        <v>450</v>
      </c>
      <c r="N16" s="176">
        <v>8998</v>
      </c>
      <c r="O16" s="176">
        <v>11075</v>
      </c>
      <c r="P16" s="176">
        <v>2988</v>
      </c>
      <c r="Q16" s="176">
        <v>520</v>
      </c>
      <c r="R16" s="176">
        <v>1584</v>
      </c>
      <c r="S16" s="176">
        <v>5869</v>
      </c>
      <c r="T16" s="176">
        <v>6180</v>
      </c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>
        <f t="shared" si="0"/>
        <v>99196</v>
      </c>
      <c r="AL16" s="176">
        <f>AVERAGE($AK$11:$AK$17)</f>
        <v>86288.28571428571</v>
      </c>
      <c r="AM16" s="176">
        <v>99196</v>
      </c>
      <c r="AN16" s="176">
        <f t="shared" si="2"/>
        <v>85515</v>
      </c>
      <c r="AO16" s="176">
        <v>99196</v>
      </c>
      <c r="AP16" s="190">
        <f t="shared" si="3"/>
        <v>0</v>
      </c>
      <c r="AQ16" s="190">
        <f t="shared" si="4"/>
        <v>0</v>
      </c>
      <c r="AR16" s="116"/>
      <c r="AS16" s="192"/>
      <c r="AT16" s="193"/>
    </row>
    <row r="17" spans="1:47" x14ac:dyDescent="0.2">
      <c r="A17" s="294">
        <v>20130307</v>
      </c>
      <c r="B17" s="176">
        <v>1</v>
      </c>
      <c r="C17" s="176">
        <v>7269</v>
      </c>
      <c r="D17" s="176">
        <v>1133</v>
      </c>
      <c r="E17" s="176">
        <v>3075</v>
      </c>
      <c r="F17" s="176">
        <v>4523</v>
      </c>
      <c r="G17" s="176">
        <v>9021</v>
      </c>
      <c r="H17" s="176">
        <v>1095</v>
      </c>
      <c r="I17" s="176">
        <v>11171</v>
      </c>
      <c r="J17" s="176">
        <v>1626</v>
      </c>
      <c r="K17" s="176">
        <v>21685</v>
      </c>
      <c r="L17" s="176">
        <v>1762</v>
      </c>
      <c r="M17" s="176">
        <v>191</v>
      </c>
      <c r="N17" s="176">
        <v>8925</v>
      </c>
      <c r="O17" s="176">
        <v>10193</v>
      </c>
      <c r="P17" s="176">
        <v>2677</v>
      </c>
      <c r="Q17" s="176">
        <v>529</v>
      </c>
      <c r="R17" s="176">
        <v>1641</v>
      </c>
      <c r="S17" s="176">
        <v>5768</v>
      </c>
      <c r="T17" s="176">
        <v>5647</v>
      </c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>
        <f t="shared" si="0"/>
        <v>97932</v>
      </c>
      <c r="AL17" s="176">
        <f t="shared" si="1"/>
        <v>86288.28571428571</v>
      </c>
      <c r="AM17" s="176">
        <v>97932</v>
      </c>
      <c r="AN17" s="176">
        <f t="shared" si="2"/>
        <v>85515</v>
      </c>
      <c r="AO17" s="176">
        <v>97932</v>
      </c>
      <c r="AP17" s="190">
        <f t="shared" si="3"/>
        <v>0</v>
      </c>
      <c r="AQ17" s="190">
        <f t="shared" si="4"/>
        <v>0</v>
      </c>
      <c r="AR17" s="116"/>
      <c r="AS17" s="192"/>
      <c r="AT17" s="193"/>
    </row>
    <row r="18" spans="1:47" x14ac:dyDescent="0.2">
      <c r="A18" s="294">
        <v>20130308</v>
      </c>
      <c r="B18" s="176">
        <v>0</v>
      </c>
      <c r="C18" s="176">
        <v>5276</v>
      </c>
      <c r="D18" s="176">
        <v>775</v>
      </c>
      <c r="E18" s="176">
        <v>3364</v>
      </c>
      <c r="F18" s="176">
        <v>4532</v>
      </c>
      <c r="G18" s="176">
        <v>8089</v>
      </c>
      <c r="H18" s="176">
        <v>993</v>
      </c>
      <c r="I18" s="176">
        <v>11330</v>
      </c>
      <c r="J18" s="176">
        <v>1636</v>
      </c>
      <c r="K18" s="176">
        <v>26546</v>
      </c>
      <c r="L18" s="176">
        <v>1591</v>
      </c>
      <c r="M18" s="176">
        <v>0</v>
      </c>
      <c r="N18" s="176">
        <v>9128</v>
      </c>
      <c r="O18" s="176">
        <v>8846</v>
      </c>
      <c r="P18" s="176">
        <v>2742</v>
      </c>
      <c r="Q18" s="176">
        <v>267</v>
      </c>
      <c r="R18" s="176">
        <v>1526</v>
      </c>
      <c r="S18" s="176">
        <v>5965</v>
      </c>
      <c r="T18" s="176">
        <v>4631</v>
      </c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>
        <f t="shared" si="0"/>
        <v>97237</v>
      </c>
      <c r="AL18" s="176">
        <f>AVERAGE($AK$18:$AK$24)</f>
        <v>89663.428571428565</v>
      </c>
      <c r="AM18" s="176">
        <v>97237</v>
      </c>
      <c r="AN18" s="176">
        <f t="shared" ref="AN18:AN24" si="5">AVERAGE($AM$18:$AM$24)</f>
        <v>89663.428571428565</v>
      </c>
      <c r="AO18" s="176">
        <v>97237</v>
      </c>
      <c r="AP18" s="190">
        <f t="shared" si="3"/>
        <v>0</v>
      </c>
      <c r="AQ18" s="190">
        <f t="shared" si="4"/>
        <v>0</v>
      </c>
      <c r="AR18" s="116"/>
      <c r="AS18" s="194"/>
      <c r="AT18" s="193"/>
    </row>
    <row r="19" spans="1:47" x14ac:dyDescent="0.2">
      <c r="A19" s="294">
        <v>20130309</v>
      </c>
      <c r="B19" s="176">
        <v>0</v>
      </c>
      <c r="C19" s="176">
        <v>2742</v>
      </c>
      <c r="D19" s="176">
        <v>104</v>
      </c>
      <c r="E19" s="176">
        <v>2122</v>
      </c>
      <c r="F19" s="176">
        <v>1057</v>
      </c>
      <c r="G19" s="176">
        <v>7707</v>
      </c>
      <c r="H19" s="176">
        <v>1067</v>
      </c>
      <c r="I19" s="176">
        <v>11099</v>
      </c>
      <c r="J19" s="176">
        <v>426</v>
      </c>
      <c r="K19" s="176">
        <v>8574</v>
      </c>
      <c r="L19" s="176">
        <v>35</v>
      </c>
      <c r="M19" s="176">
        <v>0</v>
      </c>
      <c r="N19" s="176">
        <v>8870</v>
      </c>
      <c r="O19" s="176">
        <v>6459</v>
      </c>
      <c r="P19" s="176">
        <v>232</v>
      </c>
      <c r="Q19" s="176">
        <v>217</v>
      </c>
      <c r="R19" s="176">
        <v>382</v>
      </c>
      <c r="S19" s="176">
        <v>5580</v>
      </c>
      <c r="T19" s="176">
        <v>363</v>
      </c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>
        <f t="shared" si="0"/>
        <v>57036</v>
      </c>
      <c r="AL19" s="176">
        <f t="shared" ref="AL19:AL24" si="6">AVERAGE($AK$18:$AK$24)</f>
        <v>89663.428571428565</v>
      </c>
      <c r="AM19" s="176">
        <v>57036</v>
      </c>
      <c r="AN19" s="176">
        <f t="shared" si="5"/>
        <v>89663.428571428565</v>
      </c>
      <c r="AO19" s="176">
        <v>57036</v>
      </c>
      <c r="AP19" s="190">
        <f t="shared" si="3"/>
        <v>0</v>
      </c>
      <c r="AQ19" s="190">
        <f t="shared" si="4"/>
        <v>0</v>
      </c>
      <c r="AR19" s="116"/>
      <c r="AS19" s="194"/>
      <c r="AT19" s="193"/>
    </row>
    <row r="20" spans="1:47" s="199" customFormat="1" x14ac:dyDescent="0.2">
      <c r="A20" s="295">
        <v>20130310</v>
      </c>
      <c r="B20" s="176">
        <v>7</v>
      </c>
      <c r="C20" s="176">
        <v>1129</v>
      </c>
      <c r="D20" s="176">
        <v>571</v>
      </c>
      <c r="E20" s="176">
        <v>2949</v>
      </c>
      <c r="F20" s="176">
        <v>5</v>
      </c>
      <c r="G20" s="176">
        <v>6625</v>
      </c>
      <c r="H20" s="176">
        <v>1050</v>
      </c>
      <c r="I20" s="176">
        <v>11272</v>
      </c>
      <c r="J20" s="176">
        <v>367</v>
      </c>
      <c r="K20" s="176">
        <v>11613</v>
      </c>
      <c r="L20" s="176">
        <v>243</v>
      </c>
      <c r="M20" s="176">
        <v>58</v>
      </c>
      <c r="N20" s="176">
        <v>9949</v>
      </c>
      <c r="O20" s="176">
        <v>6752</v>
      </c>
      <c r="P20" s="176">
        <v>2556</v>
      </c>
      <c r="Q20" s="176">
        <v>246</v>
      </c>
      <c r="R20" s="176">
        <v>0</v>
      </c>
      <c r="S20" s="176">
        <v>5718</v>
      </c>
      <c r="T20" s="176">
        <v>160</v>
      </c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>
        <f t="shared" si="0"/>
        <v>61270</v>
      </c>
      <c r="AL20" s="195">
        <f t="shared" si="6"/>
        <v>89663.428571428565</v>
      </c>
      <c r="AM20" s="176">
        <v>61270</v>
      </c>
      <c r="AN20" s="195">
        <f t="shared" si="5"/>
        <v>89663.428571428565</v>
      </c>
      <c r="AO20" s="195">
        <v>61270</v>
      </c>
      <c r="AP20" s="196">
        <f t="shared" si="3"/>
        <v>0</v>
      </c>
      <c r="AQ20" s="196">
        <f t="shared" si="4"/>
        <v>0</v>
      </c>
      <c r="AR20" s="197"/>
      <c r="AS20" s="194"/>
      <c r="AT20" s="198"/>
    </row>
    <row r="21" spans="1:47" s="199" customFormat="1" x14ac:dyDescent="0.2">
      <c r="A21" s="295">
        <v>20130311</v>
      </c>
      <c r="B21" s="176">
        <v>82</v>
      </c>
      <c r="C21" s="176">
        <v>5841</v>
      </c>
      <c r="D21" s="176">
        <v>1227</v>
      </c>
      <c r="E21" s="176">
        <v>3747</v>
      </c>
      <c r="F21" s="176">
        <v>5</v>
      </c>
      <c r="G21" s="176">
        <v>8072</v>
      </c>
      <c r="H21" s="176">
        <v>1037</v>
      </c>
      <c r="I21" s="176">
        <v>9583</v>
      </c>
      <c r="J21" s="176">
        <v>1682</v>
      </c>
      <c r="K21" s="176">
        <v>23931</v>
      </c>
      <c r="L21" s="176">
        <v>1879</v>
      </c>
      <c r="M21" s="176">
        <v>551</v>
      </c>
      <c r="N21" s="176">
        <v>11051</v>
      </c>
      <c r="O21" s="176">
        <v>9118</v>
      </c>
      <c r="P21" s="176">
        <v>2856</v>
      </c>
      <c r="Q21" s="176">
        <v>483</v>
      </c>
      <c r="R21" s="176">
        <v>356</v>
      </c>
      <c r="S21" s="176">
        <v>5336</v>
      </c>
      <c r="T21" s="176">
        <v>5493</v>
      </c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>
        <f t="shared" si="0"/>
        <v>92330</v>
      </c>
      <c r="AL21" s="195">
        <f t="shared" si="6"/>
        <v>89663.428571428565</v>
      </c>
      <c r="AM21" s="176">
        <v>92330</v>
      </c>
      <c r="AN21" s="195">
        <f t="shared" si="5"/>
        <v>89663.428571428565</v>
      </c>
      <c r="AO21" s="195">
        <v>92330</v>
      </c>
      <c r="AP21" s="196">
        <f t="shared" si="3"/>
        <v>0</v>
      </c>
      <c r="AQ21" s="196">
        <f t="shared" si="4"/>
        <v>0</v>
      </c>
      <c r="AR21" s="197"/>
      <c r="AS21" s="194"/>
      <c r="AT21" s="198"/>
    </row>
    <row r="22" spans="1:47" s="199" customFormat="1" x14ac:dyDescent="0.2">
      <c r="A22" s="295">
        <v>20130312</v>
      </c>
      <c r="B22" s="176">
        <v>70</v>
      </c>
      <c r="C22" s="176">
        <v>5819</v>
      </c>
      <c r="D22" s="176">
        <v>1666</v>
      </c>
      <c r="E22" s="176">
        <v>3833</v>
      </c>
      <c r="F22" s="176">
        <v>3721</v>
      </c>
      <c r="G22" s="176">
        <v>9721</v>
      </c>
      <c r="H22" s="176">
        <v>1003</v>
      </c>
      <c r="I22" s="176">
        <v>10922</v>
      </c>
      <c r="J22" s="176">
        <v>1913</v>
      </c>
      <c r="K22" s="176">
        <v>27862</v>
      </c>
      <c r="L22" s="176">
        <v>1818</v>
      </c>
      <c r="M22" s="176">
        <v>385</v>
      </c>
      <c r="N22" s="176">
        <v>9858</v>
      </c>
      <c r="O22" s="176">
        <v>8656</v>
      </c>
      <c r="P22" s="176">
        <v>2776</v>
      </c>
      <c r="Q22" s="176">
        <v>294</v>
      </c>
      <c r="R22" s="176">
        <v>1629</v>
      </c>
      <c r="S22" s="176">
        <v>5353</v>
      </c>
      <c r="T22" s="176">
        <v>6758</v>
      </c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>
        <f t="shared" si="0"/>
        <v>104057</v>
      </c>
      <c r="AL22" s="195">
        <f t="shared" si="6"/>
        <v>89663.428571428565</v>
      </c>
      <c r="AM22" s="176">
        <v>104057</v>
      </c>
      <c r="AN22" s="195">
        <f t="shared" si="5"/>
        <v>89663.428571428565</v>
      </c>
      <c r="AO22" s="195">
        <v>104057</v>
      </c>
      <c r="AP22" s="196">
        <f t="shared" si="3"/>
        <v>0</v>
      </c>
      <c r="AQ22" s="196">
        <f t="shared" si="4"/>
        <v>0</v>
      </c>
      <c r="AR22" s="197"/>
      <c r="AS22" s="194"/>
      <c r="AT22" s="198"/>
    </row>
    <row r="23" spans="1:47" s="199" customFormat="1" x14ac:dyDescent="0.2">
      <c r="A23" s="295">
        <v>20130313</v>
      </c>
      <c r="B23" s="176">
        <v>18</v>
      </c>
      <c r="C23" s="176">
        <v>6707</v>
      </c>
      <c r="D23" s="176">
        <v>1516</v>
      </c>
      <c r="E23" s="176">
        <v>4224</v>
      </c>
      <c r="F23" s="176">
        <v>4936</v>
      </c>
      <c r="G23" s="176">
        <v>11328</v>
      </c>
      <c r="H23" s="176">
        <v>1086</v>
      </c>
      <c r="I23" s="176">
        <v>11396</v>
      </c>
      <c r="J23" s="176">
        <v>1691</v>
      </c>
      <c r="K23" s="176">
        <v>28329</v>
      </c>
      <c r="L23" s="176">
        <v>1825</v>
      </c>
      <c r="M23" s="176">
        <v>372</v>
      </c>
      <c r="N23" s="176">
        <v>10199</v>
      </c>
      <c r="O23" s="176">
        <v>9290</v>
      </c>
      <c r="P23" s="176">
        <v>2912</v>
      </c>
      <c r="Q23" s="176">
        <v>296</v>
      </c>
      <c r="R23" s="176">
        <v>1632</v>
      </c>
      <c r="S23" s="176">
        <v>6001</v>
      </c>
      <c r="T23" s="176">
        <v>6333</v>
      </c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>
        <f t="shared" si="0"/>
        <v>110091</v>
      </c>
      <c r="AL23" s="195">
        <f t="shared" si="6"/>
        <v>89663.428571428565</v>
      </c>
      <c r="AM23" s="176">
        <v>110091</v>
      </c>
      <c r="AN23" s="195">
        <f t="shared" si="5"/>
        <v>89663.428571428565</v>
      </c>
      <c r="AO23" s="195">
        <v>110091</v>
      </c>
      <c r="AP23" s="196">
        <f t="shared" si="3"/>
        <v>0</v>
      </c>
      <c r="AQ23" s="196">
        <f t="shared" si="4"/>
        <v>0</v>
      </c>
      <c r="AR23" s="197"/>
      <c r="AS23" s="194"/>
      <c r="AT23" s="198"/>
    </row>
    <row r="24" spans="1:47" s="199" customFormat="1" x14ac:dyDescent="0.2">
      <c r="A24" s="295">
        <v>20130314</v>
      </c>
      <c r="B24" s="176">
        <v>1</v>
      </c>
      <c r="C24" s="176">
        <v>5554</v>
      </c>
      <c r="D24" s="176">
        <v>1355</v>
      </c>
      <c r="E24" s="176">
        <v>3949</v>
      </c>
      <c r="F24" s="176">
        <v>4959</v>
      </c>
      <c r="G24" s="176">
        <v>9284</v>
      </c>
      <c r="H24" s="176">
        <v>1174</v>
      </c>
      <c r="I24" s="176">
        <v>11446</v>
      </c>
      <c r="J24" s="176">
        <v>1736</v>
      </c>
      <c r="K24" s="176">
        <v>27646</v>
      </c>
      <c r="L24" s="176">
        <v>1978</v>
      </c>
      <c r="M24" s="176">
        <v>394</v>
      </c>
      <c r="N24" s="176">
        <v>9019</v>
      </c>
      <c r="O24" s="176">
        <v>9485</v>
      </c>
      <c r="P24" s="176">
        <v>2813</v>
      </c>
      <c r="Q24" s="176">
        <v>339</v>
      </c>
      <c r="R24" s="176">
        <v>1657</v>
      </c>
      <c r="S24" s="176">
        <v>6039</v>
      </c>
      <c r="T24" s="176">
        <v>6795</v>
      </c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>
        <f t="shared" si="0"/>
        <v>105623</v>
      </c>
      <c r="AL24" s="195">
        <f t="shared" si="6"/>
        <v>89663.428571428565</v>
      </c>
      <c r="AM24" s="176">
        <v>105623</v>
      </c>
      <c r="AN24" s="195">
        <f t="shared" si="5"/>
        <v>89663.428571428565</v>
      </c>
      <c r="AO24" s="195">
        <v>105623</v>
      </c>
      <c r="AP24" s="196">
        <f t="shared" si="3"/>
        <v>0</v>
      </c>
      <c r="AQ24" s="196">
        <f t="shared" si="4"/>
        <v>0</v>
      </c>
      <c r="AR24" s="200"/>
      <c r="AS24" s="194"/>
      <c r="AT24" s="198"/>
    </row>
    <row r="25" spans="1:47" s="199" customFormat="1" x14ac:dyDescent="0.2">
      <c r="A25" s="295">
        <v>20130315</v>
      </c>
      <c r="B25" s="176">
        <v>0</v>
      </c>
      <c r="C25" s="176">
        <v>5365</v>
      </c>
      <c r="D25" s="176">
        <v>993</v>
      </c>
      <c r="E25" s="176">
        <v>3126</v>
      </c>
      <c r="F25" s="176">
        <v>4957</v>
      </c>
      <c r="G25" s="176">
        <v>11527</v>
      </c>
      <c r="H25" s="176">
        <v>1192</v>
      </c>
      <c r="I25" s="176">
        <v>11947</v>
      </c>
      <c r="J25" s="176">
        <v>1678</v>
      </c>
      <c r="K25" s="176">
        <v>27822</v>
      </c>
      <c r="L25" s="176">
        <v>1911</v>
      </c>
      <c r="M25" s="176">
        <v>472</v>
      </c>
      <c r="N25" s="176">
        <v>10871</v>
      </c>
      <c r="O25" s="176">
        <v>8235</v>
      </c>
      <c r="P25" s="176">
        <v>3290</v>
      </c>
      <c r="Q25" s="176">
        <v>282</v>
      </c>
      <c r="R25" s="176">
        <v>1639</v>
      </c>
      <c r="S25" s="176">
        <v>5958</v>
      </c>
      <c r="T25" s="176">
        <v>6300</v>
      </c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>
        <f t="shared" si="0"/>
        <v>107565</v>
      </c>
      <c r="AL25" s="195">
        <f>AVERAGE($AK$25:$AK$31)</f>
        <v>74536.71428571429</v>
      </c>
      <c r="AM25" s="176">
        <v>107565</v>
      </c>
      <c r="AN25" s="195">
        <f t="shared" ref="AN25:AN31" si="7">AVERAGE($AM$25:$AM$31)</f>
        <v>75310</v>
      </c>
      <c r="AO25" s="195">
        <v>0</v>
      </c>
      <c r="AP25" s="196">
        <f t="shared" si="3"/>
        <v>0</v>
      </c>
      <c r="AQ25" s="196" t="e">
        <f t="shared" si="4"/>
        <v>#DIV/0!</v>
      </c>
      <c r="AR25" s="201"/>
      <c r="AS25" s="202"/>
      <c r="AT25" s="203"/>
      <c r="AU25" s="204"/>
    </row>
    <row r="26" spans="1:47" s="199" customFormat="1" x14ac:dyDescent="0.2">
      <c r="A26" s="295">
        <v>20130316</v>
      </c>
      <c r="B26" s="176">
        <v>0</v>
      </c>
      <c r="C26" s="176">
        <v>919</v>
      </c>
      <c r="D26" s="176">
        <v>13</v>
      </c>
      <c r="E26" s="176">
        <v>1608</v>
      </c>
      <c r="F26" s="176">
        <v>868</v>
      </c>
      <c r="G26" s="176">
        <v>9178</v>
      </c>
      <c r="H26" s="176">
        <v>1146</v>
      </c>
      <c r="I26" s="176">
        <v>7625</v>
      </c>
      <c r="J26" s="176">
        <v>250</v>
      </c>
      <c r="K26" s="176">
        <v>8449</v>
      </c>
      <c r="L26" s="176">
        <v>872</v>
      </c>
      <c r="M26" s="176">
        <v>190</v>
      </c>
      <c r="N26" s="176">
        <v>10094</v>
      </c>
      <c r="O26" s="176">
        <v>3467</v>
      </c>
      <c r="P26" s="176">
        <v>234</v>
      </c>
      <c r="Q26" s="176">
        <v>164</v>
      </c>
      <c r="R26" s="176">
        <v>571</v>
      </c>
      <c r="S26" s="176">
        <v>5638</v>
      </c>
      <c r="T26" s="176">
        <v>372</v>
      </c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>
        <f t="shared" si="0"/>
        <v>51658</v>
      </c>
      <c r="AL26" s="195">
        <f t="shared" ref="AL26:AL31" si="8">AVERAGE($AK$25:$AK$31)</f>
        <v>74536.71428571429</v>
      </c>
      <c r="AM26" s="176">
        <v>57071</v>
      </c>
      <c r="AN26" s="195">
        <f t="shared" si="7"/>
        <v>75310</v>
      </c>
      <c r="AO26" s="195">
        <v>0</v>
      </c>
      <c r="AP26" s="196">
        <f t="shared" si="3"/>
        <v>9.4846769813039897E-2</v>
      </c>
      <c r="AQ26" s="196" t="e">
        <f t="shared" si="4"/>
        <v>#DIV/0!</v>
      </c>
      <c r="AR26" s="201"/>
      <c r="AS26" s="200"/>
      <c r="AT26" s="203"/>
      <c r="AU26" s="204"/>
    </row>
    <row r="27" spans="1:47" x14ac:dyDescent="0.2">
      <c r="A27" s="294">
        <v>20130317</v>
      </c>
      <c r="B27" s="176">
        <v>0</v>
      </c>
      <c r="C27" s="176">
        <v>678</v>
      </c>
      <c r="D27" s="176">
        <v>0</v>
      </c>
      <c r="E27" s="176">
        <v>903</v>
      </c>
      <c r="F27" s="176">
        <v>0</v>
      </c>
      <c r="G27" s="176">
        <v>6606</v>
      </c>
      <c r="H27" s="176">
        <v>1081</v>
      </c>
      <c r="I27" s="176">
        <v>7459</v>
      </c>
      <c r="J27" s="176">
        <v>0</v>
      </c>
      <c r="K27" s="176">
        <v>353</v>
      </c>
      <c r="L27" s="176">
        <v>3</v>
      </c>
      <c r="M27" s="176">
        <v>208</v>
      </c>
      <c r="N27" s="176">
        <v>9704</v>
      </c>
      <c r="O27" s="176">
        <v>333</v>
      </c>
      <c r="P27" s="176">
        <v>2765</v>
      </c>
      <c r="Q27" s="176">
        <v>70</v>
      </c>
      <c r="R27" s="176">
        <v>0</v>
      </c>
      <c r="S27" s="176">
        <v>5728</v>
      </c>
      <c r="T27" s="176">
        <v>2</v>
      </c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>
        <f t="shared" si="0"/>
        <v>35893</v>
      </c>
      <c r="AL27" s="176">
        <f t="shared" si="8"/>
        <v>74536.71428571429</v>
      </c>
      <c r="AM27" s="176">
        <v>35893</v>
      </c>
      <c r="AN27" s="176">
        <f t="shared" si="7"/>
        <v>75310</v>
      </c>
      <c r="AO27" s="176">
        <v>0</v>
      </c>
      <c r="AP27" s="190">
        <f t="shared" si="3"/>
        <v>0</v>
      </c>
      <c r="AQ27" s="190" t="e">
        <f t="shared" si="4"/>
        <v>#DIV/0!</v>
      </c>
      <c r="AR27" s="205"/>
      <c r="AS27" s="206"/>
      <c r="AT27" s="207"/>
      <c r="AU27" s="208"/>
    </row>
    <row r="28" spans="1:47" x14ac:dyDescent="0.2">
      <c r="A28" s="294">
        <v>20130318</v>
      </c>
      <c r="B28" s="176">
        <v>0</v>
      </c>
      <c r="C28" s="176">
        <v>4479</v>
      </c>
      <c r="D28" s="176">
        <v>683</v>
      </c>
      <c r="E28" s="176">
        <v>2730</v>
      </c>
      <c r="F28" s="176">
        <v>10</v>
      </c>
      <c r="G28" s="176">
        <v>783</v>
      </c>
      <c r="H28" s="176">
        <v>846</v>
      </c>
      <c r="I28" s="176">
        <v>7394</v>
      </c>
      <c r="J28" s="176">
        <v>278</v>
      </c>
      <c r="K28" s="176">
        <v>5594</v>
      </c>
      <c r="L28" s="176">
        <v>700</v>
      </c>
      <c r="M28" s="176">
        <v>114</v>
      </c>
      <c r="N28" s="176">
        <v>9912</v>
      </c>
      <c r="O28" s="176">
        <v>1481</v>
      </c>
      <c r="P28" s="176">
        <v>2818</v>
      </c>
      <c r="Q28" s="176">
        <v>188</v>
      </c>
      <c r="R28" s="176">
        <v>0</v>
      </c>
      <c r="S28" s="176">
        <v>5646</v>
      </c>
      <c r="T28" s="176">
        <v>270</v>
      </c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>
        <f t="shared" si="0"/>
        <v>43926</v>
      </c>
      <c r="AL28" s="176">
        <f t="shared" si="8"/>
        <v>74536.71428571429</v>
      </c>
      <c r="AM28" s="176">
        <v>43926</v>
      </c>
      <c r="AN28" s="176">
        <f t="shared" si="7"/>
        <v>75310</v>
      </c>
      <c r="AO28" s="176">
        <v>0</v>
      </c>
      <c r="AP28" s="190">
        <f t="shared" si="3"/>
        <v>0</v>
      </c>
      <c r="AQ28" s="190" t="e">
        <f t="shared" si="4"/>
        <v>#DIV/0!</v>
      </c>
      <c r="AR28" s="205"/>
      <c r="AS28" s="206"/>
      <c r="AT28" s="207"/>
      <c r="AU28" s="208"/>
    </row>
    <row r="29" spans="1:47" x14ac:dyDescent="0.2">
      <c r="A29" s="294">
        <v>20130319</v>
      </c>
      <c r="B29" s="176">
        <v>2</v>
      </c>
      <c r="C29" s="176">
        <v>6365</v>
      </c>
      <c r="D29" s="176">
        <v>1353</v>
      </c>
      <c r="E29" s="176">
        <v>3719</v>
      </c>
      <c r="F29" s="176">
        <v>33</v>
      </c>
      <c r="G29" s="176">
        <v>11257</v>
      </c>
      <c r="H29" s="176">
        <v>876</v>
      </c>
      <c r="I29" s="176">
        <v>7249</v>
      </c>
      <c r="J29" s="176">
        <v>1242</v>
      </c>
      <c r="K29" s="176">
        <v>25442</v>
      </c>
      <c r="L29" s="176">
        <v>1791</v>
      </c>
      <c r="M29" s="176">
        <v>379</v>
      </c>
      <c r="N29" s="176">
        <v>10067</v>
      </c>
      <c r="O29" s="176">
        <v>7682</v>
      </c>
      <c r="P29" s="176">
        <v>2940</v>
      </c>
      <c r="Q29" s="176">
        <v>429</v>
      </c>
      <c r="R29" s="176">
        <v>358</v>
      </c>
      <c r="S29" s="176">
        <v>5193</v>
      </c>
      <c r="T29" s="176">
        <v>3801</v>
      </c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>
        <f t="shared" si="0"/>
        <v>90178</v>
      </c>
      <c r="AL29" s="176">
        <f t="shared" si="8"/>
        <v>74536.71428571429</v>
      </c>
      <c r="AM29" s="176">
        <v>90178</v>
      </c>
      <c r="AN29" s="176">
        <f t="shared" si="7"/>
        <v>75310</v>
      </c>
      <c r="AO29" s="176">
        <v>0</v>
      </c>
      <c r="AP29" s="190">
        <f t="shared" si="3"/>
        <v>0</v>
      </c>
      <c r="AQ29" s="190" t="e">
        <f t="shared" si="4"/>
        <v>#DIV/0!</v>
      </c>
      <c r="AR29" s="205"/>
      <c r="AS29" s="206"/>
      <c r="AT29" s="207"/>
      <c r="AU29" s="208"/>
    </row>
    <row r="30" spans="1:47" x14ac:dyDescent="0.2">
      <c r="A30" s="294">
        <v>20130320</v>
      </c>
      <c r="B30" s="176">
        <v>0</v>
      </c>
      <c r="C30" s="176">
        <v>6064</v>
      </c>
      <c r="D30" s="176">
        <v>1292</v>
      </c>
      <c r="E30" s="176">
        <v>3575</v>
      </c>
      <c r="F30" s="176">
        <v>921</v>
      </c>
      <c r="G30" s="176">
        <v>6895</v>
      </c>
      <c r="H30" s="176">
        <v>875</v>
      </c>
      <c r="I30" s="176">
        <v>7686</v>
      </c>
      <c r="J30" s="176">
        <v>1367</v>
      </c>
      <c r="K30" s="176">
        <v>26775</v>
      </c>
      <c r="L30" s="176">
        <v>1927</v>
      </c>
      <c r="M30" s="176">
        <v>335</v>
      </c>
      <c r="N30" s="176">
        <v>10297</v>
      </c>
      <c r="O30" s="176">
        <v>9956</v>
      </c>
      <c r="P30" s="176">
        <v>3064</v>
      </c>
      <c r="Q30" s="176">
        <v>254</v>
      </c>
      <c r="R30" s="176">
        <v>1613</v>
      </c>
      <c r="S30" s="176">
        <v>5225</v>
      </c>
      <c r="T30" s="176">
        <v>5548</v>
      </c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>
        <f t="shared" si="0"/>
        <v>93669</v>
      </c>
      <c r="AL30" s="176">
        <f t="shared" si="8"/>
        <v>74536.71428571429</v>
      </c>
      <c r="AM30" s="176">
        <v>93669</v>
      </c>
      <c r="AN30" s="176">
        <f t="shared" si="7"/>
        <v>75310</v>
      </c>
      <c r="AO30" s="176">
        <v>0</v>
      </c>
      <c r="AP30" s="190">
        <f t="shared" si="3"/>
        <v>0</v>
      </c>
      <c r="AQ30" s="190" t="e">
        <f t="shared" si="4"/>
        <v>#DIV/0!</v>
      </c>
      <c r="AS30" s="206"/>
      <c r="AT30" s="207"/>
      <c r="AU30" s="208"/>
    </row>
    <row r="31" spans="1:47" x14ac:dyDescent="0.2">
      <c r="A31" s="294">
        <v>20130321</v>
      </c>
      <c r="B31" s="176">
        <v>69</v>
      </c>
      <c r="C31" s="176">
        <v>5461</v>
      </c>
      <c r="D31" s="176">
        <v>1260</v>
      </c>
      <c r="E31" s="176">
        <v>4314</v>
      </c>
      <c r="F31" s="176">
        <v>4728</v>
      </c>
      <c r="G31" s="176">
        <v>10222</v>
      </c>
      <c r="H31" s="176">
        <v>775</v>
      </c>
      <c r="I31" s="176">
        <v>7434</v>
      </c>
      <c r="J31" s="176">
        <v>1667</v>
      </c>
      <c r="K31" s="176">
        <v>24783</v>
      </c>
      <c r="L31" s="176">
        <v>1757</v>
      </c>
      <c r="M31" s="176">
        <v>391</v>
      </c>
      <c r="N31" s="176">
        <v>10097</v>
      </c>
      <c r="O31" s="176">
        <v>10404</v>
      </c>
      <c r="P31" s="176">
        <v>2958</v>
      </c>
      <c r="Q31" s="176">
        <v>430</v>
      </c>
      <c r="R31" s="176">
        <v>1412</v>
      </c>
      <c r="S31" s="176">
        <v>5433</v>
      </c>
      <c r="T31" s="176">
        <v>5273</v>
      </c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>
        <f t="shared" si="0"/>
        <v>98868</v>
      </c>
      <c r="AL31" s="176">
        <f t="shared" si="8"/>
        <v>74536.71428571429</v>
      </c>
      <c r="AM31" s="176">
        <v>98868</v>
      </c>
      <c r="AN31" s="176">
        <f t="shared" si="7"/>
        <v>75310</v>
      </c>
      <c r="AO31" s="176">
        <v>0</v>
      </c>
      <c r="AP31" s="190">
        <f t="shared" si="3"/>
        <v>0</v>
      </c>
      <c r="AQ31" s="190" t="e">
        <f t="shared" si="4"/>
        <v>#DIV/0!</v>
      </c>
      <c r="AR31" s="205"/>
      <c r="AS31" s="206"/>
      <c r="AT31" s="207"/>
      <c r="AU31" s="208"/>
    </row>
    <row r="32" spans="1:47" x14ac:dyDescent="0.2">
      <c r="A32" s="294">
        <v>20130322</v>
      </c>
      <c r="B32" s="176">
        <v>53</v>
      </c>
      <c r="C32" s="176">
        <v>4364</v>
      </c>
      <c r="D32" s="176">
        <v>791</v>
      </c>
      <c r="E32" s="176">
        <v>3191</v>
      </c>
      <c r="F32" s="176">
        <v>4439</v>
      </c>
      <c r="G32" s="176">
        <v>9577</v>
      </c>
      <c r="H32" s="176">
        <v>951</v>
      </c>
      <c r="I32" s="176">
        <v>7769</v>
      </c>
      <c r="J32" s="176">
        <v>775</v>
      </c>
      <c r="K32" s="176">
        <v>22154</v>
      </c>
      <c r="L32" s="176">
        <v>1871</v>
      </c>
      <c r="M32" s="176">
        <v>456</v>
      </c>
      <c r="N32" s="176">
        <v>10017</v>
      </c>
      <c r="O32" s="176">
        <v>9583</v>
      </c>
      <c r="P32" s="176">
        <v>3149</v>
      </c>
      <c r="Q32" s="176">
        <v>177</v>
      </c>
      <c r="R32" s="176">
        <v>1616</v>
      </c>
      <c r="S32" s="176">
        <v>5625</v>
      </c>
      <c r="T32" s="176">
        <v>5699</v>
      </c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>
        <f t="shared" si="0"/>
        <v>92257</v>
      </c>
      <c r="AL32" s="176">
        <f t="shared" ref="AL32:AL38" si="9">AVERAGE($AK$32:$AK$38)</f>
        <v>69725.428571428565</v>
      </c>
      <c r="AM32" s="176">
        <v>92257</v>
      </c>
      <c r="AN32" s="176">
        <f>AVERAGE($AM$32:$AM$38)</f>
        <v>69725.428571428565</v>
      </c>
      <c r="AO32" s="176">
        <v>0</v>
      </c>
      <c r="AP32" s="190">
        <f t="shared" si="3"/>
        <v>0</v>
      </c>
      <c r="AQ32" s="190" t="e">
        <f t="shared" si="4"/>
        <v>#DIV/0!</v>
      </c>
      <c r="AR32" s="205"/>
      <c r="AS32" s="206"/>
      <c r="AT32" s="208"/>
      <c r="AU32" s="208"/>
    </row>
    <row r="33" spans="1:47" x14ac:dyDescent="0.2">
      <c r="A33" s="294">
        <v>20130323</v>
      </c>
      <c r="B33" s="176">
        <v>0</v>
      </c>
      <c r="C33" s="176">
        <v>4434</v>
      </c>
      <c r="D33" s="176">
        <v>68</v>
      </c>
      <c r="E33" s="176">
        <v>897</v>
      </c>
      <c r="F33" s="176">
        <v>3610</v>
      </c>
      <c r="G33" s="176">
        <v>9383</v>
      </c>
      <c r="H33" s="176">
        <v>1047</v>
      </c>
      <c r="I33" s="176">
        <v>7658</v>
      </c>
      <c r="J33" s="176">
        <v>154</v>
      </c>
      <c r="K33" s="176">
        <v>7776</v>
      </c>
      <c r="L33" s="176">
        <v>520</v>
      </c>
      <c r="M33" s="176">
        <v>186</v>
      </c>
      <c r="N33" s="176">
        <v>9646</v>
      </c>
      <c r="O33" s="176">
        <v>6808</v>
      </c>
      <c r="P33" s="176">
        <v>1329</v>
      </c>
      <c r="Q33" s="176">
        <v>109</v>
      </c>
      <c r="R33" s="176">
        <v>537</v>
      </c>
      <c r="S33" s="176">
        <v>4681</v>
      </c>
      <c r="T33" s="176">
        <v>509</v>
      </c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>
        <f t="shared" si="0"/>
        <v>59352</v>
      </c>
      <c r="AL33" s="176">
        <f t="shared" si="9"/>
        <v>69725.428571428565</v>
      </c>
      <c r="AM33" s="176">
        <v>59352</v>
      </c>
      <c r="AN33" s="176">
        <f t="shared" ref="AN33:AN38" si="10">AVERAGE($AM$32:$AM$38)</f>
        <v>69725.428571428565</v>
      </c>
      <c r="AO33" s="176">
        <v>0</v>
      </c>
      <c r="AP33" s="190">
        <f t="shared" si="3"/>
        <v>0</v>
      </c>
      <c r="AQ33" s="190" t="e">
        <f t="shared" si="4"/>
        <v>#DIV/0!</v>
      </c>
      <c r="AR33" s="205"/>
      <c r="AS33" s="206"/>
      <c r="AT33" s="208"/>
      <c r="AU33" s="208"/>
    </row>
    <row r="34" spans="1:47" x14ac:dyDescent="0.2">
      <c r="A34" s="294">
        <v>20130324</v>
      </c>
      <c r="B34" s="176">
        <v>0</v>
      </c>
      <c r="C34" s="176">
        <v>2654</v>
      </c>
      <c r="D34" s="176">
        <v>775</v>
      </c>
      <c r="E34" s="176">
        <v>764</v>
      </c>
      <c r="F34" s="176">
        <v>2</v>
      </c>
      <c r="G34" s="176">
        <v>8332</v>
      </c>
      <c r="H34" s="176">
        <v>1029</v>
      </c>
      <c r="I34" s="176">
        <v>7916</v>
      </c>
      <c r="J34" s="176">
        <v>0</v>
      </c>
      <c r="K34" s="176">
        <v>4904</v>
      </c>
      <c r="L34" s="176">
        <v>195</v>
      </c>
      <c r="M34" s="176">
        <v>346</v>
      </c>
      <c r="N34" s="176">
        <v>10096</v>
      </c>
      <c r="O34" s="176">
        <v>8045</v>
      </c>
      <c r="P34" s="176">
        <v>3070</v>
      </c>
      <c r="Q34" s="176">
        <v>64</v>
      </c>
      <c r="R34" s="176">
        <v>357</v>
      </c>
      <c r="S34" s="176">
        <v>5612</v>
      </c>
      <c r="T34" s="176">
        <v>166</v>
      </c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>
        <f t="shared" si="0"/>
        <v>54327</v>
      </c>
      <c r="AL34" s="176">
        <f t="shared" si="9"/>
        <v>69725.428571428565</v>
      </c>
      <c r="AM34" s="176">
        <v>54327</v>
      </c>
      <c r="AN34" s="176">
        <f t="shared" si="10"/>
        <v>69725.428571428565</v>
      </c>
      <c r="AO34" s="176">
        <v>0</v>
      </c>
      <c r="AP34" s="190">
        <f t="shared" si="3"/>
        <v>0</v>
      </c>
      <c r="AQ34" s="190" t="e">
        <f t="shared" si="4"/>
        <v>#DIV/0!</v>
      </c>
      <c r="AR34" s="205"/>
      <c r="AS34" s="206"/>
      <c r="AT34" s="208"/>
      <c r="AU34" s="208"/>
    </row>
    <row r="35" spans="1:47" x14ac:dyDescent="0.2">
      <c r="A35" s="294">
        <v>20130325</v>
      </c>
      <c r="B35" s="176">
        <v>0</v>
      </c>
      <c r="C35" s="176">
        <v>1490</v>
      </c>
      <c r="D35" s="176">
        <v>1549</v>
      </c>
      <c r="E35" s="176">
        <v>3053</v>
      </c>
      <c r="F35" s="176">
        <v>26</v>
      </c>
      <c r="G35" s="176">
        <v>11011</v>
      </c>
      <c r="H35" s="176">
        <v>1053</v>
      </c>
      <c r="I35" s="176">
        <v>7925</v>
      </c>
      <c r="J35" s="176">
        <v>181</v>
      </c>
      <c r="K35" s="176">
        <v>27160</v>
      </c>
      <c r="L35" s="176">
        <v>1830</v>
      </c>
      <c r="M35" s="176">
        <v>331</v>
      </c>
      <c r="N35" s="176">
        <v>10643</v>
      </c>
      <c r="O35" s="176">
        <v>11393</v>
      </c>
      <c r="P35" s="176">
        <v>3021</v>
      </c>
      <c r="Q35" s="176">
        <v>279</v>
      </c>
      <c r="R35" s="176">
        <v>1611</v>
      </c>
      <c r="S35" s="176">
        <v>4608</v>
      </c>
      <c r="T35" s="176">
        <v>6136</v>
      </c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>
        <f t="shared" si="0"/>
        <v>93300</v>
      </c>
      <c r="AL35" s="176">
        <f t="shared" si="9"/>
        <v>69725.428571428565</v>
      </c>
      <c r="AM35" s="176">
        <v>93300</v>
      </c>
      <c r="AN35" s="176">
        <f t="shared" si="10"/>
        <v>69725.428571428565</v>
      </c>
      <c r="AO35" s="176">
        <v>0</v>
      </c>
      <c r="AP35" s="190">
        <f t="shared" si="3"/>
        <v>0</v>
      </c>
      <c r="AQ35" s="190" t="e">
        <f t="shared" si="4"/>
        <v>#DIV/0!</v>
      </c>
      <c r="AR35" s="205"/>
      <c r="AS35" s="206"/>
      <c r="AT35" s="208"/>
      <c r="AU35" s="208"/>
    </row>
    <row r="36" spans="1:47" x14ac:dyDescent="0.2">
      <c r="A36" s="294">
        <v>20130326</v>
      </c>
      <c r="B36" s="176">
        <v>1</v>
      </c>
      <c r="C36" s="176">
        <v>428</v>
      </c>
      <c r="D36" s="176">
        <v>1568</v>
      </c>
      <c r="E36" s="176">
        <v>2956</v>
      </c>
      <c r="F36" s="176">
        <v>2</v>
      </c>
      <c r="G36" s="176">
        <v>12321</v>
      </c>
      <c r="H36" s="176">
        <v>1076</v>
      </c>
      <c r="I36" s="176">
        <v>8147</v>
      </c>
      <c r="J36" s="176">
        <v>95</v>
      </c>
      <c r="K36" s="176">
        <v>27490</v>
      </c>
      <c r="L36" s="176">
        <v>2152</v>
      </c>
      <c r="M36" s="176">
        <v>447</v>
      </c>
      <c r="N36" s="176">
        <v>10338</v>
      </c>
      <c r="O36" s="176">
        <v>10475</v>
      </c>
      <c r="P36" s="176">
        <v>2813</v>
      </c>
      <c r="Q36" s="176">
        <v>250</v>
      </c>
      <c r="R36" s="176">
        <v>1673</v>
      </c>
      <c r="S36" s="176">
        <v>5539</v>
      </c>
      <c r="T36" s="176">
        <v>5860</v>
      </c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>
        <f t="shared" si="0"/>
        <v>93631</v>
      </c>
      <c r="AL36" s="176">
        <f t="shared" si="9"/>
        <v>69725.428571428565</v>
      </c>
      <c r="AM36" s="176">
        <v>93631</v>
      </c>
      <c r="AN36" s="176">
        <f t="shared" si="10"/>
        <v>69725.428571428565</v>
      </c>
      <c r="AO36" s="176">
        <v>0</v>
      </c>
      <c r="AP36" s="190">
        <f t="shared" si="3"/>
        <v>0</v>
      </c>
      <c r="AQ36" s="190" t="e">
        <f t="shared" si="4"/>
        <v>#DIV/0!</v>
      </c>
      <c r="AR36" s="205"/>
      <c r="AS36" s="206"/>
      <c r="AT36" s="208"/>
      <c r="AU36" s="208"/>
    </row>
    <row r="37" spans="1:47" x14ac:dyDescent="0.2">
      <c r="A37" s="294">
        <v>20130327</v>
      </c>
      <c r="B37" s="176">
        <v>1</v>
      </c>
      <c r="C37" s="176">
        <v>387</v>
      </c>
      <c r="D37" s="176">
        <v>863</v>
      </c>
      <c r="E37" s="176">
        <v>632</v>
      </c>
      <c r="F37" s="176">
        <v>2</v>
      </c>
      <c r="G37" s="176">
        <v>4254</v>
      </c>
      <c r="H37" s="176">
        <v>1053</v>
      </c>
      <c r="I37" s="176">
        <v>7852</v>
      </c>
      <c r="J37" s="176">
        <v>0</v>
      </c>
      <c r="K37" s="176">
        <v>22882</v>
      </c>
      <c r="L37" s="176">
        <v>2050</v>
      </c>
      <c r="M37" s="176">
        <v>2</v>
      </c>
      <c r="N37" s="176">
        <v>10660</v>
      </c>
      <c r="O37" s="176">
        <v>7552</v>
      </c>
      <c r="P37" s="176">
        <v>253</v>
      </c>
      <c r="Q37" s="176">
        <v>231</v>
      </c>
      <c r="R37" s="176">
        <v>1207</v>
      </c>
      <c r="S37" s="176">
        <v>5828</v>
      </c>
      <c r="T37" s="176">
        <v>820</v>
      </c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>
        <f t="shared" si="0"/>
        <v>66529</v>
      </c>
      <c r="AL37" s="176">
        <f t="shared" si="9"/>
        <v>69725.428571428565</v>
      </c>
      <c r="AM37" s="176">
        <v>66529</v>
      </c>
      <c r="AN37" s="176">
        <f t="shared" si="10"/>
        <v>69725.428571428565</v>
      </c>
      <c r="AO37" s="176">
        <v>0</v>
      </c>
      <c r="AP37" s="190">
        <f t="shared" si="3"/>
        <v>0</v>
      </c>
      <c r="AQ37" s="190" t="e">
        <f t="shared" si="4"/>
        <v>#DIV/0!</v>
      </c>
      <c r="AR37" s="205"/>
      <c r="AS37" s="206"/>
      <c r="AT37" s="208"/>
      <c r="AU37" s="208"/>
    </row>
    <row r="38" spans="1:47" x14ac:dyDescent="0.2">
      <c r="A38" s="294">
        <v>20130328</v>
      </c>
      <c r="B38" s="176">
        <v>0</v>
      </c>
      <c r="C38" s="176">
        <v>0</v>
      </c>
      <c r="D38" s="176">
        <v>10</v>
      </c>
      <c r="E38" s="176">
        <v>0</v>
      </c>
      <c r="F38" s="176">
        <v>0</v>
      </c>
      <c r="G38" s="176">
        <v>0</v>
      </c>
      <c r="H38" s="176">
        <v>900</v>
      </c>
      <c r="I38" s="176">
        <v>7973</v>
      </c>
      <c r="J38" s="176">
        <v>0</v>
      </c>
      <c r="K38" s="176">
        <v>2400</v>
      </c>
      <c r="L38" s="176">
        <v>1269</v>
      </c>
      <c r="M38" s="176">
        <v>0</v>
      </c>
      <c r="N38" s="176">
        <v>10134</v>
      </c>
      <c r="O38" s="176">
        <v>0</v>
      </c>
      <c r="P38" s="176">
        <v>0</v>
      </c>
      <c r="Q38" s="176">
        <v>5</v>
      </c>
      <c r="R38" s="176">
        <v>0</v>
      </c>
      <c r="S38" s="176">
        <v>5991</v>
      </c>
      <c r="T38" s="176">
        <v>0</v>
      </c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>
        <f t="shared" si="0"/>
        <v>28682</v>
      </c>
      <c r="AL38" s="176">
        <f t="shared" si="9"/>
        <v>69725.428571428565</v>
      </c>
      <c r="AM38" s="176">
        <v>28682</v>
      </c>
      <c r="AN38" s="176">
        <f t="shared" si="10"/>
        <v>69725.428571428565</v>
      </c>
      <c r="AO38" s="176">
        <v>0</v>
      </c>
      <c r="AP38" s="190">
        <f t="shared" si="3"/>
        <v>0</v>
      </c>
      <c r="AQ38" s="190" t="e">
        <f t="shared" si="4"/>
        <v>#DIV/0!</v>
      </c>
      <c r="AR38" s="206"/>
      <c r="AS38" s="206"/>
      <c r="AT38" s="208"/>
      <c r="AU38" s="208"/>
    </row>
    <row r="39" spans="1:47" x14ac:dyDescent="0.2">
      <c r="A39" s="294">
        <v>20130329</v>
      </c>
      <c r="B39" s="176">
        <v>0</v>
      </c>
      <c r="C39" s="176">
        <v>0</v>
      </c>
      <c r="D39" s="176">
        <v>10</v>
      </c>
      <c r="E39" s="176">
        <v>0</v>
      </c>
      <c r="F39" s="176">
        <v>0</v>
      </c>
      <c r="G39" s="176">
        <v>0</v>
      </c>
      <c r="H39" s="176">
        <v>174</v>
      </c>
      <c r="I39" s="176">
        <v>7344</v>
      </c>
      <c r="J39" s="176">
        <v>0</v>
      </c>
      <c r="K39" s="176">
        <v>2115</v>
      </c>
      <c r="L39" s="176">
        <v>0</v>
      </c>
      <c r="M39" s="176">
        <v>0</v>
      </c>
      <c r="N39" s="176">
        <v>10460</v>
      </c>
      <c r="O39" s="176">
        <v>0</v>
      </c>
      <c r="P39" s="176">
        <v>0</v>
      </c>
      <c r="Q39" s="176">
        <v>3</v>
      </c>
      <c r="R39" s="176">
        <v>0</v>
      </c>
      <c r="S39" s="176">
        <v>6085</v>
      </c>
      <c r="T39" s="176">
        <v>3</v>
      </c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>
        <f t="shared" si="0"/>
        <v>26194</v>
      </c>
      <c r="AL39" s="176">
        <f>AVERAGE($AK$39:$AK$41)</f>
        <v>30004.333333333332</v>
      </c>
      <c r="AM39" s="176">
        <v>26194</v>
      </c>
      <c r="AN39" s="176">
        <f>AVERAGE($AM$39:$AM$41)</f>
        <v>30004.333333333332</v>
      </c>
      <c r="AO39" s="176">
        <v>0</v>
      </c>
      <c r="AP39" s="190">
        <f t="shared" si="3"/>
        <v>0</v>
      </c>
      <c r="AQ39" s="190" t="e">
        <f t="shared" si="4"/>
        <v>#DIV/0!</v>
      </c>
      <c r="AR39" s="206"/>
      <c r="AS39" s="206"/>
      <c r="AT39" s="208"/>
      <c r="AU39" s="208"/>
    </row>
    <row r="40" spans="1:47" x14ac:dyDescent="0.2">
      <c r="A40" s="294">
        <v>20130330</v>
      </c>
      <c r="B40" s="176">
        <v>0</v>
      </c>
      <c r="C40" s="176">
        <v>0</v>
      </c>
      <c r="D40" s="176">
        <v>0</v>
      </c>
      <c r="E40" s="176">
        <v>0</v>
      </c>
      <c r="F40" s="176">
        <v>0</v>
      </c>
      <c r="G40" s="176">
        <v>0</v>
      </c>
      <c r="H40" s="176">
        <v>975</v>
      </c>
      <c r="I40" s="176">
        <v>7414</v>
      </c>
      <c r="J40" s="176">
        <v>0</v>
      </c>
      <c r="K40" s="176">
        <v>1892</v>
      </c>
      <c r="L40" s="176">
        <v>0</v>
      </c>
      <c r="M40" s="176">
        <v>3</v>
      </c>
      <c r="N40" s="176">
        <v>10048</v>
      </c>
      <c r="O40" s="176">
        <v>316</v>
      </c>
      <c r="P40" s="176">
        <v>0</v>
      </c>
      <c r="Q40" s="176">
        <v>5</v>
      </c>
      <c r="R40" s="176">
        <v>0</v>
      </c>
      <c r="S40" s="176">
        <v>6165</v>
      </c>
      <c r="T40" s="176">
        <v>0</v>
      </c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>
        <f t="shared" si="0"/>
        <v>26818</v>
      </c>
      <c r="AL40" s="176">
        <f>AVERAGE($AK$39:$AK$41)</f>
        <v>30004.333333333332</v>
      </c>
      <c r="AM40" s="176">
        <v>26818</v>
      </c>
      <c r="AN40" s="176">
        <f>AVERAGE($AM$39:$AM$41)</f>
        <v>30004.333333333332</v>
      </c>
      <c r="AO40" s="176">
        <v>0</v>
      </c>
      <c r="AP40" s="190">
        <f t="shared" si="3"/>
        <v>0</v>
      </c>
      <c r="AQ40" s="190" t="e">
        <f t="shared" si="4"/>
        <v>#DIV/0!</v>
      </c>
      <c r="AR40" s="206"/>
      <c r="AS40" s="206"/>
      <c r="AT40" s="208"/>
      <c r="AU40" s="208"/>
    </row>
    <row r="41" spans="1:47" x14ac:dyDescent="0.2">
      <c r="A41" s="294">
        <v>20130331</v>
      </c>
      <c r="B41" s="176">
        <v>0</v>
      </c>
      <c r="C41" s="176">
        <v>0</v>
      </c>
      <c r="D41" s="176">
        <v>745</v>
      </c>
      <c r="E41" s="176">
        <v>477</v>
      </c>
      <c r="F41" s="176">
        <v>0</v>
      </c>
      <c r="G41" s="176">
        <v>3326</v>
      </c>
      <c r="H41" s="176">
        <v>1005</v>
      </c>
      <c r="I41" s="176">
        <v>7556</v>
      </c>
      <c r="J41" s="176">
        <v>117</v>
      </c>
      <c r="K41" s="176">
        <v>6300</v>
      </c>
      <c r="L41" s="176">
        <v>281</v>
      </c>
      <c r="M41" s="176">
        <v>0</v>
      </c>
      <c r="N41" s="176">
        <v>8996</v>
      </c>
      <c r="O41" s="176">
        <v>951</v>
      </c>
      <c r="P41" s="176">
        <v>1292</v>
      </c>
      <c r="Q41" s="176">
        <v>24</v>
      </c>
      <c r="R41" s="176">
        <v>0</v>
      </c>
      <c r="S41" s="176">
        <v>5826</v>
      </c>
      <c r="T41" s="176">
        <v>105</v>
      </c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>
        <f t="shared" si="0"/>
        <v>37001</v>
      </c>
      <c r="AL41" s="176">
        <f>AVERAGE($AK$39:$AK$41)</f>
        <v>30004.333333333332</v>
      </c>
      <c r="AM41" s="176">
        <v>37001</v>
      </c>
      <c r="AN41" s="176">
        <f>AVERAGE($AM$39:$AM$41)</f>
        <v>30004.333333333332</v>
      </c>
      <c r="AO41" s="176">
        <v>0</v>
      </c>
      <c r="AP41" s="190">
        <f t="shared" si="3"/>
        <v>0</v>
      </c>
      <c r="AQ41" s="190" t="e">
        <f t="shared" si="4"/>
        <v>#DIV/0!</v>
      </c>
      <c r="AR41" s="206"/>
      <c r="AS41" s="206"/>
      <c r="AT41" s="208"/>
      <c r="AU41" s="208"/>
    </row>
    <row r="42" spans="1:47" s="182" customFormat="1" ht="13.5" thickBot="1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>
        <f>SUM(AK11:AK41)</f>
        <v>2331510</v>
      </c>
      <c r="AL42" s="227">
        <f>SUM(AL11:AL41)</f>
        <v>2331510.0000000009</v>
      </c>
      <c r="AM42" s="227">
        <f>SUM(AM11:AM41)</f>
        <v>2331510</v>
      </c>
      <c r="AN42" s="227">
        <f>SUM(AN11:AN41)</f>
        <v>2331510.0000000005</v>
      </c>
      <c r="AO42" s="227">
        <f>SUM(AO11:AO41)</f>
        <v>1226249</v>
      </c>
      <c r="AP42" s="472">
        <f>(AM42-AK42)/AM42</f>
        <v>0</v>
      </c>
      <c r="AQ42" s="228">
        <f>(AO42-AM42)/AO42</f>
        <v>-0.90133488386127125</v>
      </c>
      <c r="AR42" s="138"/>
    </row>
    <row r="43" spans="1:47" s="209" customFormat="1" x14ac:dyDescent="0.2">
      <c r="A43" s="777" t="s">
        <v>69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778"/>
      <c r="O43" s="778"/>
      <c r="P43" s="778"/>
      <c r="Q43" s="778"/>
      <c r="R43" s="778"/>
      <c r="S43" s="778"/>
      <c r="T43" s="778"/>
      <c r="U43" s="778"/>
      <c r="V43" s="778"/>
      <c r="W43" s="778"/>
      <c r="X43" s="778"/>
      <c r="Y43" s="778"/>
      <c r="Z43" s="778"/>
      <c r="AA43" s="778"/>
      <c r="AB43" s="778"/>
      <c r="AC43" s="778"/>
      <c r="AD43" s="778"/>
      <c r="AE43" s="778"/>
      <c r="AF43" s="778"/>
      <c r="AG43" s="778"/>
      <c r="AH43" s="778"/>
      <c r="AI43" s="778"/>
      <c r="AJ43" s="778"/>
      <c r="AK43" s="778"/>
      <c r="AL43" s="778"/>
      <c r="AM43" s="778"/>
      <c r="AN43" s="778"/>
      <c r="AO43" s="778"/>
      <c r="AP43" s="778"/>
      <c r="AQ43" s="779"/>
      <c r="AR43" s="217"/>
    </row>
    <row r="44" spans="1:47" s="179" customFormat="1" x14ac:dyDescent="0.2">
      <c r="A44" s="406" t="s">
        <v>55</v>
      </c>
      <c r="B44" s="178">
        <f>SUM(B11:B24)</f>
        <v>463</v>
      </c>
      <c r="C44" s="178">
        <f t="shared" ref="C44:Z44" si="11">SUM(C11:C24)</f>
        <v>71918</v>
      </c>
      <c r="D44" s="178">
        <f t="shared" si="11"/>
        <v>15245</v>
      </c>
      <c r="E44" s="178">
        <f t="shared" si="11"/>
        <v>42951</v>
      </c>
      <c r="F44" s="178">
        <f t="shared" si="11"/>
        <v>40463</v>
      </c>
      <c r="G44" s="178">
        <f t="shared" si="11"/>
        <v>126305</v>
      </c>
      <c r="H44" s="178">
        <f t="shared" si="11"/>
        <v>15146</v>
      </c>
      <c r="I44" s="178">
        <f t="shared" si="11"/>
        <v>156818</v>
      </c>
      <c r="J44" s="178">
        <f t="shared" si="11"/>
        <v>17513</v>
      </c>
      <c r="K44" s="178">
        <f t="shared" si="11"/>
        <v>267912</v>
      </c>
      <c r="L44" s="178">
        <f t="shared" si="11"/>
        <v>18848</v>
      </c>
      <c r="M44" s="178">
        <f t="shared" si="11"/>
        <v>3581</v>
      </c>
      <c r="N44" s="178">
        <f t="shared" si="11"/>
        <v>136469</v>
      </c>
      <c r="O44" s="178">
        <f t="shared" si="11"/>
        <v>123924</v>
      </c>
      <c r="P44" s="178">
        <f t="shared" si="11"/>
        <v>32447</v>
      </c>
      <c r="Q44" s="178">
        <f t="shared" si="11"/>
        <v>4200</v>
      </c>
      <c r="R44" s="178">
        <f t="shared" si="11"/>
        <v>14616</v>
      </c>
      <c r="S44" s="178">
        <f t="shared" si="11"/>
        <v>82209</v>
      </c>
      <c r="T44" s="178">
        <f t="shared" si="11"/>
        <v>60634</v>
      </c>
      <c r="U44" s="178">
        <f t="shared" si="11"/>
        <v>0</v>
      </c>
      <c r="V44" s="178">
        <f t="shared" si="11"/>
        <v>0</v>
      </c>
      <c r="W44" s="178">
        <f t="shared" si="11"/>
        <v>0</v>
      </c>
      <c r="X44" s="178">
        <f t="shared" si="11"/>
        <v>0</v>
      </c>
      <c r="Y44" s="178">
        <f t="shared" si="11"/>
        <v>0</v>
      </c>
      <c r="Z44" s="178">
        <f t="shared" si="11"/>
        <v>0</v>
      </c>
      <c r="AA44" s="178">
        <f t="shared" ref="AA44:AO44" si="12">SUM(AA11:AA24)</f>
        <v>0</v>
      </c>
      <c r="AB44" s="178">
        <f t="shared" si="12"/>
        <v>0</v>
      </c>
      <c r="AC44" s="178">
        <f>SUM(AC11:AC24)</f>
        <v>0</v>
      </c>
      <c r="AD44" s="178">
        <f>SUM(AD11:AD24)</f>
        <v>0</v>
      </c>
      <c r="AE44" s="178">
        <f>SUM(AE11:AE24)</f>
        <v>0</v>
      </c>
      <c r="AF44" s="178">
        <f t="shared" si="12"/>
        <v>0</v>
      </c>
      <c r="AG44" s="178">
        <f>SUM(AG11:AG24)</f>
        <v>0</v>
      </c>
      <c r="AH44" s="178">
        <f>SUM(AH11:AH24)</f>
        <v>0</v>
      </c>
      <c r="AI44" s="178">
        <f>SUM(AI11:AI24)</f>
        <v>0</v>
      </c>
      <c r="AJ44" s="178">
        <f>SUM(AJ11:AJ24)</f>
        <v>0</v>
      </c>
      <c r="AK44" s="178">
        <f t="shared" si="12"/>
        <v>1231662</v>
      </c>
      <c r="AL44" s="178">
        <f t="shared" si="12"/>
        <v>1231661.9999999998</v>
      </c>
      <c r="AM44" s="178">
        <f t="shared" si="12"/>
        <v>1226249</v>
      </c>
      <c r="AN44" s="178">
        <f t="shared" si="12"/>
        <v>1226248.9999999998</v>
      </c>
      <c r="AO44" s="178">
        <f t="shared" si="12"/>
        <v>1226249</v>
      </c>
      <c r="AP44" s="164">
        <f>(AM44-AK44)/AM44</f>
        <v>-4.4142747517021417E-3</v>
      </c>
      <c r="AQ44" s="136">
        <f>(AO44-AM44)/AO44</f>
        <v>0</v>
      </c>
    </row>
    <row r="45" spans="1:47" s="179" customFormat="1" x14ac:dyDescent="0.2">
      <c r="A45" s="242" t="s">
        <v>56</v>
      </c>
      <c r="B45" s="210">
        <f t="shared" ref="B45:W45" si="13">B44/$AK$44</f>
        <v>3.7591482078687172E-4</v>
      </c>
      <c r="C45" s="210">
        <f t="shared" si="13"/>
        <v>5.8391019614147388E-2</v>
      </c>
      <c r="D45" s="210">
        <f t="shared" si="13"/>
        <v>1.2377584109926263E-2</v>
      </c>
      <c r="E45" s="210">
        <f t="shared" si="13"/>
        <v>3.487239193869747E-2</v>
      </c>
      <c r="F45" s="210">
        <f t="shared" si="13"/>
        <v>3.2852357221380545E-2</v>
      </c>
      <c r="G45" s="210">
        <f t="shared" si="13"/>
        <v>0.10254842643517459</v>
      </c>
      <c r="H45" s="210">
        <f t="shared" si="13"/>
        <v>1.2297204914984794E-2</v>
      </c>
      <c r="I45" s="210">
        <f t="shared" si="13"/>
        <v>0.12732226860940746</v>
      </c>
      <c r="J45" s="210">
        <f t="shared" si="13"/>
        <v>1.4218998394039924E-2</v>
      </c>
      <c r="K45" s="210">
        <f t="shared" si="13"/>
        <v>0.21752071591069627</v>
      </c>
      <c r="L45" s="210">
        <f t="shared" si="13"/>
        <v>1.5302899659159737E-2</v>
      </c>
      <c r="M45" s="210">
        <f t="shared" si="13"/>
        <v>2.9074535059131481E-3</v>
      </c>
      <c r="N45" s="210">
        <f t="shared" si="13"/>
        <v>0.11080069044916543</v>
      </c>
      <c r="O45" s="210">
        <f t="shared" si="13"/>
        <v>0.10061526620127925</v>
      </c>
      <c r="P45" s="210">
        <f t="shared" si="13"/>
        <v>2.6344078164301569E-2</v>
      </c>
      <c r="Q45" s="210">
        <f t="shared" si="13"/>
        <v>3.4100264520623351E-3</v>
      </c>
      <c r="R45" s="210">
        <f t="shared" si="13"/>
        <v>1.1866892053176927E-2</v>
      </c>
      <c r="S45" s="210">
        <f t="shared" si="13"/>
        <v>6.6746396332760125E-2</v>
      </c>
      <c r="T45" s="210">
        <f t="shared" si="13"/>
        <v>4.9229415212939914E-2</v>
      </c>
      <c r="U45" s="210">
        <f t="shared" si="13"/>
        <v>0</v>
      </c>
      <c r="V45" s="210">
        <f t="shared" si="13"/>
        <v>0</v>
      </c>
      <c r="W45" s="210">
        <f t="shared" si="13"/>
        <v>0</v>
      </c>
      <c r="X45" s="210">
        <f>X44/$AK$44</f>
        <v>0</v>
      </c>
      <c r="Y45" s="210">
        <f>Y44/$AK$44</f>
        <v>0</v>
      </c>
      <c r="Z45" s="210">
        <f>Z44/$AK$44</f>
        <v>0</v>
      </c>
      <c r="AA45" s="210">
        <f t="shared" ref="AA45:AF45" si="14">AA44/$AK$44</f>
        <v>0</v>
      </c>
      <c r="AB45" s="210">
        <f t="shared" si="14"/>
        <v>0</v>
      </c>
      <c r="AC45" s="210">
        <f t="shared" si="14"/>
        <v>0</v>
      </c>
      <c r="AD45" s="210">
        <f t="shared" si="14"/>
        <v>0</v>
      </c>
      <c r="AE45" s="210">
        <f t="shared" si="14"/>
        <v>0</v>
      </c>
      <c r="AF45" s="210">
        <f t="shared" si="14"/>
        <v>0</v>
      </c>
      <c r="AG45" s="210">
        <f>AG44/$AK$44</f>
        <v>0</v>
      </c>
      <c r="AH45" s="210">
        <f>AH44/$AK$44</f>
        <v>0</v>
      </c>
      <c r="AI45" s="210">
        <f>AI44/$AK$44</f>
        <v>0</v>
      </c>
      <c r="AJ45" s="210">
        <f>AJ44/$AK$44</f>
        <v>0</v>
      </c>
      <c r="AK45" s="211">
        <f>SUM(B45:AJ45)</f>
        <v>1.0000000000000002</v>
      </c>
      <c r="AL45" s="219"/>
      <c r="AM45" s="219"/>
      <c r="AN45" s="219"/>
      <c r="AO45" s="219"/>
      <c r="AP45" s="219"/>
      <c r="AQ45" s="222"/>
    </row>
    <row r="46" spans="1:47" s="179" customFormat="1" x14ac:dyDescent="0.2">
      <c r="A46" s="407" t="s">
        <v>57</v>
      </c>
      <c r="B46" s="212">
        <f t="shared" ref="B46:AF46" si="15">B45*$AM$44</f>
        <v>460.96517307508066</v>
      </c>
      <c r="C46" s="212">
        <f t="shared" si="15"/>
        <v>71601.929410828627</v>
      </c>
      <c r="D46" s="212">
        <f t="shared" si="15"/>
        <v>15178.00013721297</v>
      </c>
      <c r="E46" s="212">
        <f t="shared" si="15"/>
        <v>42762.235742435834</v>
      </c>
      <c r="F46" s="212">
        <f t="shared" si="15"/>
        <v>40285.170190360674</v>
      </c>
      <c r="G46" s="212">
        <f t="shared" si="15"/>
        <v>125749.90536770641</v>
      </c>
      <c r="H46" s="212">
        <f t="shared" si="15"/>
        <v>15079.435229795188</v>
      </c>
      <c r="I46" s="212">
        <f t="shared" si="15"/>
        <v>156128.80456001728</v>
      </c>
      <c r="J46" s="212">
        <f t="shared" si="15"/>
        <v>17436.032561693064</v>
      </c>
      <c r="K46" s="212">
        <f t="shared" si="15"/>
        <v>266734.56036477542</v>
      </c>
      <c r="L46" s="212">
        <f t="shared" si="15"/>
        <v>18765.165404144969</v>
      </c>
      <c r="M46" s="212">
        <f t="shared" si="15"/>
        <v>3565.2619541724921</v>
      </c>
      <c r="N46" s="212">
        <f t="shared" si="15"/>
        <v>135869.23586259867</v>
      </c>
      <c r="O46" s="212">
        <f t="shared" si="15"/>
        <v>123379.36956405248</v>
      </c>
      <c r="P46" s="212">
        <f t="shared" si="15"/>
        <v>32304.399504896635</v>
      </c>
      <c r="Q46" s="212">
        <f t="shared" si="15"/>
        <v>4181.5415268149864</v>
      </c>
      <c r="R46" s="212">
        <f t="shared" si="15"/>
        <v>14551.764513316153</v>
      </c>
      <c r="S46" s="212">
        <f t="shared" si="15"/>
        <v>81847.701756650771</v>
      </c>
      <c r="T46" s="212">
        <f t="shared" si="15"/>
        <v>60367.521175452355</v>
      </c>
      <c r="U46" s="212">
        <f t="shared" si="15"/>
        <v>0</v>
      </c>
      <c r="V46" s="212">
        <f t="shared" si="15"/>
        <v>0</v>
      </c>
      <c r="W46" s="212">
        <f t="shared" si="15"/>
        <v>0</v>
      </c>
      <c r="X46" s="212">
        <f t="shared" si="15"/>
        <v>0</v>
      </c>
      <c r="Y46" s="212">
        <f t="shared" si="15"/>
        <v>0</v>
      </c>
      <c r="Z46" s="212">
        <f t="shared" si="15"/>
        <v>0</v>
      </c>
      <c r="AA46" s="212">
        <f t="shared" si="15"/>
        <v>0</v>
      </c>
      <c r="AB46" s="212">
        <f t="shared" si="15"/>
        <v>0</v>
      </c>
      <c r="AC46" s="212">
        <f t="shared" si="15"/>
        <v>0</v>
      </c>
      <c r="AD46" s="212">
        <f t="shared" si="15"/>
        <v>0</v>
      </c>
      <c r="AE46" s="212">
        <f t="shared" si="15"/>
        <v>0</v>
      </c>
      <c r="AF46" s="212">
        <f t="shared" si="15"/>
        <v>0</v>
      </c>
      <c r="AG46" s="212">
        <f>AG45*$AM$44</f>
        <v>0</v>
      </c>
      <c r="AH46" s="212">
        <f>AH45*$AM$44</f>
        <v>0</v>
      </c>
      <c r="AI46" s="212">
        <f>AI45*$AM$44</f>
        <v>0</v>
      </c>
      <c r="AJ46" s="212">
        <f>AJ45*$AM$44</f>
        <v>0</v>
      </c>
      <c r="AK46" s="213">
        <f>SUM(B46:AJ46)</f>
        <v>1226249</v>
      </c>
      <c r="AL46" s="219"/>
      <c r="AM46" s="220"/>
      <c r="AN46" s="219"/>
      <c r="AO46" s="219"/>
      <c r="AP46" s="219"/>
      <c r="AQ46" s="222"/>
    </row>
    <row r="47" spans="1:47" s="179" customFormat="1" ht="13.5" thickBot="1" x14ac:dyDescent="0.25">
      <c r="A47" s="408" t="s">
        <v>122</v>
      </c>
      <c r="B47" s="216">
        <f>(B46-B44)/B44</f>
        <v>-4.3948745678603534E-3</v>
      </c>
      <c r="C47" s="216">
        <f t="shared" ref="C47:AK47" si="16">(C46-C44)/C44</f>
        <v>-4.3948745678602475E-3</v>
      </c>
      <c r="D47" s="216">
        <f t="shared" si="16"/>
        <v>-4.3948745678602822E-3</v>
      </c>
      <c r="E47" s="216">
        <f t="shared" si="16"/>
        <v>-4.3948745678602536E-3</v>
      </c>
      <c r="F47" s="216">
        <f t="shared" si="16"/>
        <v>-4.394874567860179E-3</v>
      </c>
      <c r="G47" s="216">
        <f t="shared" si="16"/>
        <v>-4.3948745678602779E-3</v>
      </c>
      <c r="H47" s="216">
        <f t="shared" si="16"/>
        <v>-4.3948745678602796E-3</v>
      </c>
      <c r="I47" s="216">
        <f t="shared" si="16"/>
        <v>-4.3948745678603395E-3</v>
      </c>
      <c r="J47" s="216">
        <f t="shared" si="16"/>
        <v>-4.3948745678602155E-3</v>
      </c>
      <c r="K47" s="216">
        <f t="shared" si="16"/>
        <v>-4.3948745678602753E-3</v>
      </c>
      <c r="L47" s="216">
        <f t="shared" si="16"/>
        <v>-4.3948745678602918E-3</v>
      </c>
      <c r="M47" s="216">
        <f t="shared" si="16"/>
        <v>-4.3948745678603473E-3</v>
      </c>
      <c r="N47" s="216">
        <f t="shared" si="16"/>
        <v>-4.3948745678603404E-3</v>
      </c>
      <c r="O47" s="216">
        <f t="shared" si="16"/>
        <v>-4.3948745678602848E-3</v>
      </c>
      <c r="P47" s="216">
        <f t="shared" si="16"/>
        <v>-4.3948745678603464E-3</v>
      </c>
      <c r="Q47" s="216">
        <f t="shared" si="16"/>
        <v>-4.3948745678603915E-3</v>
      </c>
      <c r="R47" s="216">
        <f t="shared" si="16"/>
        <v>-4.3948745678603473E-3</v>
      </c>
      <c r="S47" s="216">
        <f t="shared" si="16"/>
        <v>-4.3948745678603178E-3</v>
      </c>
      <c r="T47" s="216">
        <f t="shared" si="16"/>
        <v>-4.3948745678603551E-3</v>
      </c>
      <c r="U47" s="216" t="e">
        <f t="shared" si="16"/>
        <v>#DIV/0!</v>
      </c>
      <c r="V47" s="216" t="e">
        <f t="shared" si="16"/>
        <v>#DIV/0!</v>
      </c>
      <c r="W47" s="216" t="e">
        <f t="shared" si="16"/>
        <v>#DIV/0!</v>
      </c>
      <c r="X47" s="216" t="e">
        <f t="shared" si="16"/>
        <v>#DIV/0!</v>
      </c>
      <c r="Y47" s="216" t="e">
        <f t="shared" si="16"/>
        <v>#DIV/0!</v>
      </c>
      <c r="Z47" s="216" t="e">
        <f t="shared" si="16"/>
        <v>#DIV/0!</v>
      </c>
      <c r="AA47" s="216" t="e">
        <f t="shared" si="16"/>
        <v>#DIV/0!</v>
      </c>
      <c r="AB47" s="216" t="e">
        <f t="shared" si="16"/>
        <v>#DIV/0!</v>
      </c>
      <c r="AC47" s="216" t="e">
        <f t="shared" si="16"/>
        <v>#DIV/0!</v>
      </c>
      <c r="AD47" s="216" t="e">
        <f t="shared" si="16"/>
        <v>#DIV/0!</v>
      </c>
      <c r="AE47" s="216" t="e">
        <f t="shared" si="16"/>
        <v>#DIV/0!</v>
      </c>
      <c r="AF47" s="216" t="e">
        <f t="shared" si="16"/>
        <v>#DIV/0!</v>
      </c>
      <c r="AG47" s="216" t="e">
        <f>(AG46-AG44)/AG44</f>
        <v>#DIV/0!</v>
      </c>
      <c r="AH47" s="216" t="e">
        <f>(AH46-AH44)/AH44</f>
        <v>#DIV/0!</v>
      </c>
      <c r="AI47" s="216" t="e">
        <f>(AI46-AI44)/AI44</f>
        <v>#DIV/0!</v>
      </c>
      <c r="AJ47" s="216" t="e">
        <f>(AJ46-AJ44)/AJ44</f>
        <v>#DIV/0!</v>
      </c>
      <c r="AK47" s="216">
        <f t="shared" si="16"/>
        <v>-4.3948745678603386E-3</v>
      </c>
      <c r="AL47" s="223"/>
      <c r="AM47" s="224"/>
      <c r="AN47" s="223"/>
      <c r="AO47" s="223"/>
      <c r="AP47" s="223"/>
      <c r="AQ47" s="225"/>
    </row>
    <row r="48" spans="1:47" s="209" customFormat="1" ht="13.5" thickBot="1" x14ac:dyDescent="0.25">
      <c r="A48" s="412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3"/>
      <c r="AJ48" s="413"/>
      <c r="AK48" s="413"/>
      <c r="AM48" s="414"/>
    </row>
    <row r="49" spans="1:43" s="209" customFormat="1" x14ac:dyDescent="0.2">
      <c r="A49" s="777" t="s">
        <v>70</v>
      </c>
      <c r="B49" s="778"/>
      <c r="C49" s="778"/>
      <c r="D49" s="778"/>
      <c r="E49" s="778"/>
      <c r="F49" s="778"/>
      <c r="G49" s="778"/>
      <c r="H49" s="778"/>
      <c r="I49" s="778"/>
      <c r="J49" s="778"/>
      <c r="K49" s="778"/>
      <c r="L49" s="778"/>
      <c r="M49" s="778"/>
      <c r="N49" s="778"/>
      <c r="O49" s="778"/>
      <c r="P49" s="778"/>
      <c r="Q49" s="778"/>
      <c r="R49" s="778"/>
      <c r="S49" s="778"/>
      <c r="T49" s="778"/>
      <c r="U49" s="778"/>
      <c r="V49" s="778"/>
      <c r="W49" s="778"/>
      <c r="X49" s="778"/>
      <c r="Y49" s="778"/>
      <c r="Z49" s="778"/>
      <c r="AA49" s="778"/>
      <c r="AB49" s="778"/>
      <c r="AC49" s="778"/>
      <c r="AD49" s="778"/>
      <c r="AE49" s="778"/>
      <c r="AF49" s="778"/>
      <c r="AG49" s="778"/>
      <c r="AH49" s="778"/>
      <c r="AI49" s="778"/>
      <c r="AJ49" s="778"/>
      <c r="AK49" s="778"/>
      <c r="AL49" s="778"/>
      <c r="AM49" s="778"/>
      <c r="AN49" s="778"/>
      <c r="AO49" s="778"/>
      <c r="AP49" s="778"/>
      <c r="AQ49" s="779"/>
    </row>
    <row r="50" spans="1:43" s="179" customFormat="1" x14ac:dyDescent="0.2">
      <c r="A50" s="406" t="s">
        <v>55</v>
      </c>
      <c r="B50" s="178">
        <f>SUM(B25:B41)</f>
        <v>126</v>
      </c>
      <c r="C50" s="178">
        <f t="shared" ref="C50:AN50" si="17">SUM(C25:C41)</f>
        <v>43088</v>
      </c>
      <c r="D50" s="178">
        <f t="shared" si="17"/>
        <v>11973</v>
      </c>
      <c r="E50" s="178">
        <f t="shared" si="17"/>
        <v>31945</v>
      </c>
      <c r="F50" s="178">
        <f t="shared" si="17"/>
        <v>19598</v>
      </c>
      <c r="G50" s="178">
        <f t="shared" si="17"/>
        <v>114672</v>
      </c>
      <c r="H50" s="178">
        <f t="shared" si="17"/>
        <v>16054</v>
      </c>
      <c r="I50" s="178">
        <f t="shared" si="17"/>
        <v>134348</v>
      </c>
      <c r="J50" s="178">
        <f t="shared" si="17"/>
        <v>7804</v>
      </c>
      <c r="K50" s="178">
        <f t="shared" si="17"/>
        <v>244291</v>
      </c>
      <c r="L50" s="178">
        <f t="shared" si="17"/>
        <v>19129</v>
      </c>
      <c r="M50" s="178">
        <f t="shared" si="17"/>
        <v>3860</v>
      </c>
      <c r="N50" s="178">
        <f t="shared" si="17"/>
        <v>172080</v>
      </c>
      <c r="O50" s="178">
        <f t="shared" si="17"/>
        <v>96681</v>
      </c>
      <c r="P50" s="178">
        <f t="shared" si="17"/>
        <v>32996</v>
      </c>
      <c r="Q50" s="178">
        <f t="shared" si="17"/>
        <v>2964</v>
      </c>
      <c r="R50" s="178">
        <f t="shared" si="17"/>
        <v>12594</v>
      </c>
      <c r="S50" s="178">
        <f t="shared" si="17"/>
        <v>94781</v>
      </c>
      <c r="T50" s="178">
        <f t="shared" si="17"/>
        <v>40864</v>
      </c>
      <c r="U50" s="178">
        <f t="shared" si="17"/>
        <v>0</v>
      </c>
      <c r="V50" s="178">
        <f t="shared" si="17"/>
        <v>0</v>
      </c>
      <c r="W50" s="178">
        <f t="shared" si="17"/>
        <v>0</v>
      </c>
      <c r="X50" s="178">
        <f t="shared" si="17"/>
        <v>0</v>
      </c>
      <c r="Y50" s="178">
        <f t="shared" si="17"/>
        <v>0</v>
      </c>
      <c r="Z50" s="178">
        <f t="shared" si="17"/>
        <v>0</v>
      </c>
      <c r="AA50" s="178">
        <f t="shared" si="17"/>
        <v>0</v>
      </c>
      <c r="AB50" s="178">
        <f t="shared" si="17"/>
        <v>0</v>
      </c>
      <c r="AC50" s="178">
        <f>SUM(AC25:AC41)</f>
        <v>0</v>
      </c>
      <c r="AD50" s="178">
        <f>SUM(AD25:AD41)</f>
        <v>0</v>
      </c>
      <c r="AE50" s="178">
        <f>SUM(AE25:AE41)</f>
        <v>0</v>
      </c>
      <c r="AF50" s="178">
        <f t="shared" si="17"/>
        <v>0</v>
      </c>
      <c r="AG50" s="178">
        <f t="shared" ref="AG50:AL50" si="18">SUM(AG25:AG41)</f>
        <v>0</v>
      </c>
      <c r="AH50" s="178">
        <f t="shared" si="18"/>
        <v>0</v>
      </c>
      <c r="AI50" s="178">
        <f t="shared" si="18"/>
        <v>0</v>
      </c>
      <c r="AJ50" s="178">
        <f t="shared" si="18"/>
        <v>0</v>
      </c>
      <c r="AK50" s="178">
        <f t="shared" si="18"/>
        <v>1099848</v>
      </c>
      <c r="AL50" s="178">
        <f t="shared" si="18"/>
        <v>1099847.9999999998</v>
      </c>
      <c r="AM50" s="178">
        <f t="shared" si="17"/>
        <v>1105261</v>
      </c>
      <c r="AN50" s="178">
        <f t="shared" si="17"/>
        <v>1105260.9999999995</v>
      </c>
      <c r="AO50" s="178">
        <f>SUM(AO25:AO41)</f>
        <v>0</v>
      </c>
      <c r="AP50" s="228">
        <f>(AM50-AK50)/AM50</f>
        <v>4.8974857522340876E-3</v>
      </c>
      <c r="AQ50" s="374" t="e">
        <f>(AO50-AM50)/AO50</f>
        <v>#DIV/0!</v>
      </c>
    </row>
    <row r="51" spans="1:43" s="179" customFormat="1" x14ac:dyDescent="0.2">
      <c r="A51" s="242" t="s">
        <v>56</v>
      </c>
      <c r="B51" s="210">
        <f t="shared" ref="B51:AF51" si="19">B50/$AK$50</f>
        <v>1.1456128483208589E-4</v>
      </c>
      <c r="C51" s="210">
        <f t="shared" si="19"/>
        <v>3.9176322546388226E-2</v>
      </c>
      <c r="D51" s="210">
        <f t="shared" si="19"/>
        <v>1.0886049708687019E-2</v>
      </c>
      <c r="E51" s="210">
        <f t="shared" si="19"/>
        <v>2.9044922571118917E-2</v>
      </c>
      <c r="F51" s="210">
        <f t="shared" si="19"/>
        <v>1.7818825874120786E-2</v>
      </c>
      <c r="G51" s="210">
        <f t="shared" si="19"/>
        <v>0.1042616797957536</v>
      </c>
      <c r="H51" s="210">
        <f t="shared" si="19"/>
        <v>1.45965624340818E-2</v>
      </c>
      <c r="I51" s="210">
        <f t="shared" si="19"/>
        <v>0.12215142456048472</v>
      </c>
      <c r="J51" s="210">
        <f t="shared" si="19"/>
        <v>7.0955259272190343E-3</v>
      </c>
      <c r="K51" s="210">
        <f t="shared" si="19"/>
        <v>0.22211341930884995</v>
      </c>
      <c r="L51" s="210">
        <f t="shared" si="19"/>
        <v>1.7392403313912466E-2</v>
      </c>
      <c r="M51" s="210">
        <f t="shared" si="19"/>
        <v>3.5095758686654885E-3</v>
      </c>
      <c r="N51" s="210">
        <f t="shared" si="19"/>
        <v>0.15645798328496302</v>
      </c>
      <c r="O51" s="210">
        <f t="shared" si="19"/>
        <v>8.7903964911515045E-2</v>
      </c>
      <c r="P51" s="210">
        <f t="shared" si="19"/>
        <v>3.0000509161265919E-2</v>
      </c>
      <c r="Q51" s="210">
        <f t="shared" si="19"/>
        <v>2.6949178431928777E-3</v>
      </c>
      <c r="R51" s="210">
        <f t="shared" si="19"/>
        <v>1.145067318393087E-2</v>
      </c>
      <c r="S51" s="210">
        <f t="shared" si="19"/>
        <v>8.6176453473570891E-2</v>
      </c>
      <c r="T51" s="210">
        <f t="shared" si="19"/>
        <v>3.7154224947447287E-2</v>
      </c>
      <c r="U51" s="210">
        <f t="shared" si="19"/>
        <v>0</v>
      </c>
      <c r="V51" s="210">
        <f t="shared" si="19"/>
        <v>0</v>
      </c>
      <c r="W51" s="210">
        <f t="shared" si="19"/>
        <v>0</v>
      </c>
      <c r="X51" s="210">
        <f t="shared" si="19"/>
        <v>0</v>
      </c>
      <c r="Y51" s="210">
        <f t="shared" si="19"/>
        <v>0</v>
      </c>
      <c r="Z51" s="210">
        <f t="shared" si="19"/>
        <v>0</v>
      </c>
      <c r="AA51" s="210">
        <f t="shared" si="19"/>
        <v>0</v>
      </c>
      <c r="AB51" s="210">
        <f t="shared" si="19"/>
        <v>0</v>
      </c>
      <c r="AC51" s="210">
        <f t="shared" si="19"/>
        <v>0</v>
      </c>
      <c r="AD51" s="210">
        <f t="shared" si="19"/>
        <v>0</v>
      </c>
      <c r="AE51" s="210">
        <f t="shared" si="19"/>
        <v>0</v>
      </c>
      <c r="AF51" s="210">
        <f t="shared" si="19"/>
        <v>0</v>
      </c>
      <c r="AG51" s="210">
        <f>AG50/$AK$50</f>
        <v>0</v>
      </c>
      <c r="AH51" s="210">
        <f>AH50/$AK$50</f>
        <v>0</v>
      </c>
      <c r="AI51" s="210">
        <f>AI50/$AK$50</f>
        <v>0</v>
      </c>
      <c r="AJ51" s="210">
        <f>AJ50/$AK$50</f>
        <v>0</v>
      </c>
      <c r="AK51" s="210">
        <f>SUM(B51:AJ51)</f>
        <v>1</v>
      </c>
      <c r="AL51" s="219"/>
      <c r="AM51" s="219"/>
      <c r="AN51" s="219"/>
      <c r="AO51" s="219"/>
      <c r="AP51" s="219"/>
      <c r="AQ51" s="222"/>
    </row>
    <row r="52" spans="1:43" s="179" customFormat="1" x14ac:dyDescent="0.2">
      <c r="A52" s="407" t="s">
        <v>57</v>
      </c>
      <c r="B52" s="212">
        <f t="shared" ref="B52:AF52" si="20">B51*$AM$50</f>
        <v>126.62012023479608</v>
      </c>
      <c r="C52" s="212">
        <f t="shared" si="20"/>
        <v>43300.0614339436</v>
      </c>
      <c r="D52" s="212">
        <f t="shared" si="20"/>
        <v>12031.926187073122</v>
      </c>
      <c r="E52" s="212">
        <f t="shared" si="20"/>
        <v>32102.220165877465</v>
      </c>
      <c r="F52" s="212">
        <f t="shared" si="20"/>
        <v>19694.453304456612</v>
      </c>
      <c r="G52" s="212">
        <f t="shared" si="20"/>
        <v>115236.36847273442</v>
      </c>
      <c r="H52" s="212">
        <f t="shared" si="20"/>
        <v>16133.011192455684</v>
      </c>
      <c r="I52" s="212">
        <f t="shared" si="20"/>
        <v>135009.20566114591</v>
      </c>
      <c r="J52" s="212">
        <f t="shared" si="20"/>
        <v>7842.408081844037</v>
      </c>
      <c r="K52" s="212">
        <f t="shared" si="20"/>
        <v>245493.29993871882</v>
      </c>
      <c r="L52" s="212">
        <f t="shared" si="20"/>
        <v>19223.145079138205</v>
      </c>
      <c r="M52" s="212">
        <f t="shared" si="20"/>
        <v>3878.9973341770865</v>
      </c>
      <c r="N52" s="212">
        <f t="shared" si="20"/>
        <v>172926.9070635215</v>
      </c>
      <c r="O52" s="212">
        <f t="shared" si="20"/>
        <v>97156.824162066026</v>
      </c>
      <c r="P52" s="212">
        <f t="shared" si="20"/>
        <v>33158.392756089932</v>
      </c>
      <c r="Q52" s="212">
        <f t="shared" si="20"/>
        <v>2978.5875902852031</v>
      </c>
      <c r="R52" s="212">
        <f t="shared" si="20"/>
        <v>12655.982493944617</v>
      </c>
      <c r="S52" s="212">
        <f t="shared" si="20"/>
        <v>95247.473142652438</v>
      </c>
      <c r="T52" s="212">
        <f t="shared" si="20"/>
        <v>41065.115819640538</v>
      </c>
      <c r="U52" s="212">
        <f t="shared" si="20"/>
        <v>0</v>
      </c>
      <c r="V52" s="212">
        <f t="shared" si="20"/>
        <v>0</v>
      </c>
      <c r="W52" s="212">
        <f t="shared" si="20"/>
        <v>0</v>
      </c>
      <c r="X52" s="212">
        <f t="shared" si="20"/>
        <v>0</v>
      </c>
      <c r="Y52" s="212">
        <f t="shared" si="20"/>
        <v>0</v>
      </c>
      <c r="Z52" s="212">
        <f t="shared" si="20"/>
        <v>0</v>
      </c>
      <c r="AA52" s="212">
        <f t="shared" si="20"/>
        <v>0</v>
      </c>
      <c r="AB52" s="212">
        <f t="shared" si="20"/>
        <v>0</v>
      </c>
      <c r="AC52" s="212">
        <f t="shared" si="20"/>
        <v>0</v>
      </c>
      <c r="AD52" s="212">
        <f t="shared" si="20"/>
        <v>0</v>
      </c>
      <c r="AE52" s="212">
        <f t="shared" si="20"/>
        <v>0</v>
      </c>
      <c r="AF52" s="212">
        <f t="shared" si="20"/>
        <v>0</v>
      </c>
      <c r="AG52" s="212">
        <f>AG51*$AM$50</f>
        <v>0</v>
      </c>
      <c r="AH52" s="212">
        <f>AH51*$AM$50</f>
        <v>0</v>
      </c>
      <c r="AI52" s="212">
        <f>AI51*$AM$50</f>
        <v>0</v>
      </c>
      <c r="AJ52" s="212">
        <f>AJ51*$AM$50</f>
        <v>0</v>
      </c>
      <c r="AK52" s="212">
        <f>SUM(B52:AJ52)</f>
        <v>1105261</v>
      </c>
      <c r="AL52" s="219"/>
      <c r="AM52" s="219"/>
      <c r="AN52" s="219"/>
      <c r="AO52" s="219"/>
      <c r="AP52" s="219"/>
      <c r="AQ52" s="222"/>
    </row>
    <row r="53" spans="1:43" s="179" customFormat="1" ht="13.5" thickBot="1" x14ac:dyDescent="0.25">
      <c r="A53" s="408" t="s">
        <v>122</v>
      </c>
      <c r="B53" s="216">
        <f t="shared" ref="B53:AF53" si="21">(B52-B50)/B50</f>
        <v>4.9215891650482213E-3</v>
      </c>
      <c r="C53" s="216">
        <f t="shared" si="21"/>
        <v>4.9215891650482664E-3</v>
      </c>
      <c r="D53" s="216">
        <f t="shared" si="21"/>
        <v>4.9215891650482325E-3</v>
      </c>
      <c r="E53" s="216">
        <f t="shared" si="21"/>
        <v>4.9215891650482005E-3</v>
      </c>
      <c r="F53" s="216">
        <f t="shared" si="21"/>
        <v>4.921589165048086E-3</v>
      </c>
      <c r="G53" s="216">
        <f t="shared" si="21"/>
        <v>4.921589165048334E-3</v>
      </c>
      <c r="H53" s="216">
        <f t="shared" si="21"/>
        <v>4.9215891650482169E-3</v>
      </c>
      <c r="I53" s="216">
        <f t="shared" si="21"/>
        <v>4.9215891650483228E-3</v>
      </c>
      <c r="J53" s="216">
        <f t="shared" si="21"/>
        <v>4.9215891650483141E-3</v>
      </c>
      <c r="K53" s="216">
        <f t="shared" si="21"/>
        <v>4.9215891650483132E-3</v>
      </c>
      <c r="L53" s="216">
        <f t="shared" si="21"/>
        <v>4.9215891650480886E-3</v>
      </c>
      <c r="M53" s="216">
        <f t="shared" si="21"/>
        <v>4.9215891650483123E-3</v>
      </c>
      <c r="N53" s="216">
        <f t="shared" si="21"/>
        <v>4.9215891650482508E-3</v>
      </c>
      <c r="O53" s="216">
        <f t="shared" si="21"/>
        <v>4.9215891650482152E-3</v>
      </c>
      <c r="P53" s="216">
        <f t="shared" si="21"/>
        <v>4.9215891650482464E-3</v>
      </c>
      <c r="Q53" s="216">
        <f t="shared" si="21"/>
        <v>4.9215891650482716E-3</v>
      </c>
      <c r="R53" s="216">
        <f t="shared" si="21"/>
        <v>4.9215891650482048E-3</v>
      </c>
      <c r="S53" s="216">
        <f t="shared" si="21"/>
        <v>4.9215891650482447E-3</v>
      </c>
      <c r="T53" s="216">
        <f t="shared" si="21"/>
        <v>4.9215891650483965E-3</v>
      </c>
      <c r="U53" s="216" t="e">
        <f t="shared" si="21"/>
        <v>#DIV/0!</v>
      </c>
      <c r="V53" s="216" t="e">
        <f t="shared" si="21"/>
        <v>#DIV/0!</v>
      </c>
      <c r="W53" s="216" t="e">
        <f t="shared" si="21"/>
        <v>#DIV/0!</v>
      </c>
      <c r="X53" s="216" t="e">
        <f t="shared" si="21"/>
        <v>#DIV/0!</v>
      </c>
      <c r="Y53" s="216" t="e">
        <f t="shared" si="21"/>
        <v>#DIV/0!</v>
      </c>
      <c r="Z53" s="216" t="e">
        <f t="shared" si="21"/>
        <v>#DIV/0!</v>
      </c>
      <c r="AA53" s="216" t="e">
        <f t="shared" si="21"/>
        <v>#DIV/0!</v>
      </c>
      <c r="AB53" s="216" t="e">
        <f t="shared" si="21"/>
        <v>#DIV/0!</v>
      </c>
      <c r="AC53" s="216" t="e">
        <f t="shared" si="21"/>
        <v>#DIV/0!</v>
      </c>
      <c r="AD53" s="216" t="e">
        <f t="shared" si="21"/>
        <v>#DIV/0!</v>
      </c>
      <c r="AE53" s="216" t="e">
        <f t="shared" si="21"/>
        <v>#DIV/0!</v>
      </c>
      <c r="AF53" s="216" t="e">
        <f t="shared" si="21"/>
        <v>#DIV/0!</v>
      </c>
      <c r="AG53" s="216" t="e">
        <f>(AG52-AG50)/AG50</f>
        <v>#DIV/0!</v>
      </c>
      <c r="AH53" s="216" t="e">
        <f>(AH52-AH50)/AH50</f>
        <v>#DIV/0!</v>
      </c>
      <c r="AI53" s="216" t="e">
        <f>(AI52-AI50)/AI50</f>
        <v>#DIV/0!</v>
      </c>
      <c r="AJ53" s="216" t="e">
        <f>(AJ52-AJ50)/AJ50</f>
        <v>#DIV/0!</v>
      </c>
      <c r="AK53" s="216">
        <f>(AK52-AK50)/AK50</f>
        <v>4.9215891650482612E-3</v>
      </c>
      <c r="AL53" s="223"/>
      <c r="AM53" s="224"/>
      <c r="AN53" s="223"/>
      <c r="AO53" s="223"/>
      <c r="AP53" s="223"/>
      <c r="AQ53" s="225"/>
    </row>
    <row r="55" spans="1:43" x14ac:dyDescent="0.2">
      <c r="L55" s="169">
        <f>L46-L44</f>
        <v>-82.834595855030784</v>
      </c>
      <c r="P55" s="169">
        <f>P46-P44</f>
        <v>-142.60049510336466</v>
      </c>
      <c r="U55" s="169">
        <f>U46-U44</f>
        <v>0</v>
      </c>
      <c r="X55" s="169">
        <f>X46-X44</f>
        <v>0</v>
      </c>
    </row>
    <row r="56" spans="1:43" x14ac:dyDescent="0.2">
      <c r="L56" s="192">
        <f>L55/L44</f>
        <v>-4.3948745678602918E-3</v>
      </c>
      <c r="P56" s="192">
        <f>P55/P44</f>
        <v>-4.3948745678603464E-3</v>
      </c>
      <c r="T56" s="192"/>
      <c r="U56" s="192" t="e">
        <f>U55/U44</f>
        <v>#DIV/0!</v>
      </c>
      <c r="X56" s="192" t="e">
        <f>X55/X44</f>
        <v>#DIV/0!</v>
      </c>
    </row>
    <row r="57" spans="1:43" x14ac:dyDescent="0.2">
      <c r="L57" s="169">
        <f>L44*1.12%</f>
        <v>211.09760000000003</v>
      </c>
      <c r="P57" s="169">
        <f>P44*1.12%</f>
        <v>363.40640000000008</v>
      </c>
      <c r="U57" s="169">
        <f>U44*1.12%</f>
        <v>0</v>
      </c>
      <c r="X57" s="169">
        <f>X44*1.12%</f>
        <v>0</v>
      </c>
    </row>
    <row r="58" spans="1:43" x14ac:dyDescent="0.2">
      <c r="L58" s="169">
        <f>L52-L50</f>
        <v>94.145079138204892</v>
      </c>
      <c r="P58" s="169">
        <f>P52-P50</f>
        <v>162.39275608993194</v>
      </c>
      <c r="U58" s="169">
        <f>U52-U50</f>
        <v>0</v>
      </c>
      <c r="X58" s="169">
        <f>X52-X50</f>
        <v>0</v>
      </c>
    </row>
    <row r="59" spans="1:43" x14ac:dyDescent="0.2">
      <c r="L59" s="192">
        <f>L58/L50</f>
        <v>4.9215891650480886E-3</v>
      </c>
      <c r="P59" s="192">
        <f>P58/P50</f>
        <v>4.9215891650482464E-3</v>
      </c>
      <c r="T59" s="192"/>
      <c r="U59" s="192" t="e">
        <f>U58/U50</f>
        <v>#DIV/0!</v>
      </c>
      <c r="X59" s="192" t="e">
        <f>X58/X50</f>
        <v>#DIV/0!</v>
      </c>
    </row>
    <row r="60" spans="1:43" x14ac:dyDescent="0.2">
      <c r="L60" s="169">
        <f>L50*1.31%</f>
        <v>250.5899</v>
      </c>
      <c r="P60" s="169">
        <f>P50*1.31%</f>
        <v>432.24760000000003</v>
      </c>
      <c r="U60" s="169">
        <f>U50*1.31%</f>
        <v>0</v>
      </c>
      <c r="X60" s="169">
        <f>X50*1.31%</f>
        <v>0</v>
      </c>
    </row>
    <row r="63" spans="1:43" x14ac:dyDescent="0.2">
      <c r="L63" s="169">
        <f>((L57+L60)*'Balance de Energía'!$AR$42)/1000000</f>
        <v>16.843611265462499</v>
      </c>
      <c r="P63" s="169">
        <f>((P57+P60)*'Balance de Energía'!$AR$42)/1000000</f>
        <v>29.027614301470805</v>
      </c>
      <c r="U63" s="169">
        <f>((U57+U60)*'Balance de Energía'!$AR$42)/1000000</f>
        <v>0</v>
      </c>
      <c r="X63" s="169">
        <f>((X57+X60)*'Balance de Energía'!$AR$42)/1000000</f>
        <v>0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AQ52"/>
  <sheetViews>
    <sheetView topLeftCell="A25" zoomScale="85" zoomScaleNormal="85" workbookViewId="0">
      <selection activeCell="B9" sqref="B9:T9"/>
    </sheetView>
  </sheetViews>
  <sheetFormatPr baseColWidth="10" defaultRowHeight="12.75" x14ac:dyDescent="0.2"/>
  <cols>
    <col min="1" max="1" width="22.140625" style="169" bestFit="1" customWidth="1"/>
    <col min="2" max="2" width="12.28515625" style="169" bestFit="1" customWidth="1"/>
    <col min="3" max="3" width="11.42578125" style="169"/>
    <col min="4" max="4" width="11.85546875" style="169" customWidth="1"/>
    <col min="5" max="7" width="11.42578125" style="169" customWidth="1"/>
    <col min="8" max="8" width="19.140625" style="169" customWidth="1"/>
    <col min="9" max="9" width="25.28515625" style="169" customWidth="1"/>
    <col min="10" max="14" width="11.42578125" style="169" customWidth="1"/>
    <col min="15" max="15" width="15.28515625" style="169" customWidth="1"/>
    <col min="16" max="16" width="11.42578125" style="169" customWidth="1"/>
    <col min="17" max="17" width="12.7109375" style="169" customWidth="1"/>
    <col min="18" max="18" width="12.28515625" style="169" customWidth="1"/>
    <col min="19" max="19" width="16.28515625" style="169" customWidth="1"/>
    <col min="20" max="20" width="10.7109375" style="169" customWidth="1"/>
    <col min="21" max="21" width="10.7109375" style="169" hidden="1" customWidth="1"/>
    <col min="22" max="23" width="11.7109375" style="169" hidden="1" customWidth="1"/>
    <col min="24" max="29" width="12.7109375" style="169" hidden="1" customWidth="1"/>
    <col min="30" max="30" width="15.5703125" style="169" hidden="1" customWidth="1"/>
    <col min="31" max="36" width="12.7109375" style="169" hidden="1" customWidth="1"/>
    <col min="37" max="37" width="12.7109375" style="169" bestFit="1" customWidth="1"/>
    <col min="38" max="40" width="11.7109375" style="169" bestFit="1" customWidth="1"/>
    <col min="41" max="16384" width="11.42578125" style="169"/>
  </cols>
  <sheetData>
    <row r="1" spans="1:43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776"/>
      <c r="AC1" s="776"/>
      <c r="AD1" s="776"/>
      <c r="AE1" s="776"/>
      <c r="AF1" s="776"/>
      <c r="AG1" s="776"/>
      <c r="AH1" s="776"/>
      <c r="AI1" s="776"/>
      <c r="AJ1" s="776"/>
      <c r="AK1" s="776"/>
      <c r="AL1" s="776"/>
      <c r="AM1" s="776"/>
      <c r="AN1" s="776"/>
      <c r="AO1" s="776"/>
      <c r="AP1" s="776"/>
      <c r="AQ1" s="776"/>
    </row>
    <row r="2" spans="1:43" x14ac:dyDescent="0.2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</row>
    <row r="3" spans="1:43" x14ac:dyDescent="0.2">
      <c r="A3" s="775" t="s">
        <v>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</row>
    <row r="4" spans="1:43" x14ac:dyDescent="0.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</row>
    <row r="5" spans="1:43" x14ac:dyDescent="0.2">
      <c r="A5" s="166"/>
      <c r="B5" s="166"/>
      <c r="C5" s="166"/>
      <c r="D5" s="166"/>
      <c r="E5" s="166"/>
      <c r="F5" s="166"/>
      <c r="G5" s="166"/>
      <c r="H5" s="166"/>
      <c r="I5" s="167"/>
      <c r="J5" s="168"/>
    </row>
    <row r="6" spans="1:43" x14ac:dyDescent="0.2">
      <c r="A6" s="794" t="s">
        <v>1</v>
      </c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  <c r="AF6" s="794"/>
      <c r="AG6" s="794"/>
      <c r="AH6" s="794"/>
      <c r="AI6" s="794"/>
      <c r="AJ6" s="794"/>
      <c r="AK6" s="794"/>
      <c r="AL6" s="794"/>
      <c r="AM6" s="794"/>
      <c r="AN6" s="794"/>
      <c r="AO6" s="794"/>
      <c r="AP6" s="794"/>
      <c r="AQ6" s="794"/>
    </row>
    <row r="7" spans="1:43" x14ac:dyDescent="0.2">
      <c r="A7" s="795" t="str">
        <f>'Balance Volumetrico'!A7</f>
        <v>Sistema Tizayuca</v>
      </c>
      <c r="B7" s="795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5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95"/>
      <c r="AH7" s="795"/>
      <c r="AI7" s="795"/>
      <c r="AJ7" s="795"/>
      <c r="AK7" s="795"/>
      <c r="AL7" s="795"/>
      <c r="AM7" s="795"/>
      <c r="AN7" s="795"/>
      <c r="AO7" s="795"/>
      <c r="AP7" s="795"/>
      <c r="AQ7" s="795"/>
    </row>
    <row r="8" spans="1:43" x14ac:dyDescent="0.2">
      <c r="A8" s="170"/>
      <c r="B8" s="170"/>
      <c r="C8" s="170"/>
      <c r="D8" s="170"/>
      <c r="E8" s="170"/>
      <c r="F8" s="171"/>
      <c r="G8" s="170"/>
      <c r="H8" s="170"/>
      <c r="I8" s="171"/>
      <c r="J8" s="170"/>
    </row>
    <row r="9" spans="1:43" s="185" customFormat="1" ht="24" x14ac:dyDescent="0.2">
      <c r="A9" s="419" t="s">
        <v>44</v>
      </c>
      <c r="B9" s="692" t="s">
        <v>245</v>
      </c>
      <c r="C9" s="692" t="s">
        <v>246</v>
      </c>
      <c r="D9" s="692" t="s">
        <v>247</v>
      </c>
      <c r="E9" s="692" t="s">
        <v>248</v>
      </c>
      <c r="F9" s="692" t="s">
        <v>249</v>
      </c>
      <c r="G9" s="692" t="s">
        <v>250</v>
      </c>
      <c r="H9" s="692" t="s">
        <v>251</v>
      </c>
      <c r="I9" s="692" t="s">
        <v>252</v>
      </c>
      <c r="J9" s="692" t="s">
        <v>253</v>
      </c>
      <c r="K9" s="692" t="s">
        <v>254</v>
      </c>
      <c r="L9" s="692" t="s">
        <v>255</v>
      </c>
      <c r="M9" s="692" t="s">
        <v>256</v>
      </c>
      <c r="N9" s="692" t="s">
        <v>257</v>
      </c>
      <c r="O9" s="692" t="s">
        <v>258</v>
      </c>
      <c r="P9" s="692" t="s">
        <v>259</v>
      </c>
      <c r="Q9" s="692" t="s">
        <v>260</v>
      </c>
      <c r="R9" s="692" t="s">
        <v>261</v>
      </c>
      <c r="S9" s="692" t="s">
        <v>262</v>
      </c>
      <c r="T9" s="692" t="s">
        <v>263</v>
      </c>
      <c r="U9" s="420" t="s">
        <v>219</v>
      </c>
      <c r="V9" s="420" t="s">
        <v>220</v>
      </c>
      <c r="W9" s="420" t="s">
        <v>221</v>
      </c>
      <c r="X9" s="420" t="s">
        <v>222</v>
      </c>
      <c r="Y9" s="420" t="s">
        <v>223</v>
      </c>
      <c r="Z9" s="420" t="s">
        <v>224</v>
      </c>
      <c r="AA9" s="420" t="s">
        <v>225</v>
      </c>
      <c r="AB9" s="420" t="s">
        <v>226</v>
      </c>
      <c r="AC9" s="420" t="s">
        <v>227</v>
      </c>
      <c r="AD9" s="420" t="s">
        <v>228</v>
      </c>
      <c r="AE9" s="420" t="s">
        <v>229</v>
      </c>
      <c r="AF9" s="420" t="s">
        <v>230</v>
      </c>
      <c r="AG9" s="420" t="s">
        <v>231</v>
      </c>
      <c r="AH9" s="420" t="s">
        <v>232</v>
      </c>
      <c r="AI9" s="420" t="s">
        <v>233</v>
      </c>
      <c r="AJ9" s="420" t="s">
        <v>234</v>
      </c>
      <c r="AK9" s="791" t="s">
        <v>53</v>
      </c>
      <c r="AL9" s="792"/>
      <c r="AM9" s="793" t="s">
        <v>54</v>
      </c>
      <c r="AN9" s="793"/>
      <c r="AO9" s="421" t="s">
        <v>50</v>
      </c>
      <c r="AP9" s="796" t="s">
        <v>71</v>
      </c>
      <c r="AQ9" s="797"/>
    </row>
    <row r="10" spans="1:43" x14ac:dyDescent="0.2">
      <c r="A10" s="419"/>
      <c r="B10" s="780" t="s">
        <v>51</v>
      </c>
      <c r="C10" s="781"/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1"/>
      <c r="O10" s="781"/>
      <c r="P10" s="781"/>
      <c r="Q10" s="781"/>
      <c r="R10" s="781"/>
      <c r="S10" s="781"/>
      <c r="T10" s="781"/>
      <c r="U10" s="781"/>
      <c r="V10" s="781"/>
      <c r="W10" s="781"/>
      <c r="X10" s="781"/>
      <c r="Y10" s="781"/>
      <c r="Z10" s="781"/>
      <c r="AA10" s="781"/>
      <c r="AB10" s="781"/>
      <c r="AC10" s="781"/>
      <c r="AD10" s="781"/>
      <c r="AE10" s="781"/>
      <c r="AF10" s="781"/>
      <c r="AG10" s="781"/>
      <c r="AH10" s="781"/>
      <c r="AI10" s="781"/>
      <c r="AJ10" s="781"/>
      <c r="AK10" s="781"/>
      <c r="AL10" s="781"/>
      <c r="AM10" s="781"/>
      <c r="AN10" s="781"/>
      <c r="AO10" s="787"/>
      <c r="AP10" s="422" t="s">
        <v>52</v>
      </c>
      <c r="AQ10" s="423" t="s">
        <v>72</v>
      </c>
    </row>
    <row r="11" spans="1:43" x14ac:dyDescent="0.2">
      <c r="A11" s="294">
        <f>'Balance Volumetrico'!A11</f>
        <v>20130301</v>
      </c>
      <c r="B11" s="176">
        <f>('Balance Volumetrico'!B11/'Balance Volumetrico'!$AK11)*$AM11</f>
        <v>76.178762288051729</v>
      </c>
      <c r="C11" s="176">
        <f>('Balance Volumetrico'!C11/'Balance Volumetrico'!$AK11)*$AM11</f>
        <v>6940.7316751336011</v>
      </c>
      <c r="D11" s="176">
        <f>('Balance Volumetrico'!D11/'Balance Volumetrico'!$AK11)*$AM11</f>
        <v>932.95471839194215</v>
      </c>
      <c r="E11" s="176">
        <f>('Balance Volumetrico'!E11/'Balance Volumetrico'!$AK11)*$AM11</f>
        <v>2907.9596666006905</v>
      </c>
      <c r="F11" s="176">
        <f>('Balance Volumetrico'!F11/'Balance Volumetrico'!$AK11)*$AM11</f>
        <v>13.16669965472499</v>
      </c>
      <c r="G11" s="176">
        <f>('Balance Volumetrico'!G11/'Balance Volumetrico'!$AK11)*$AM11</f>
        <v>11521.802676431133</v>
      </c>
      <c r="H11" s="176">
        <f>('Balance Volumetrico'!H11/'Balance Volumetrico'!$AK11)*$AM11</f>
        <v>1067.4431505794903</v>
      </c>
      <c r="I11" s="176">
        <f>('Balance Volumetrico'!I11/'Balance Volumetrico'!$AK11)*$AM11</f>
        <v>11028.99191792571</v>
      </c>
      <c r="J11" s="176">
        <f>('Balance Volumetrico'!J11/'Balance Volumetrico'!$AK11)*$AM11</f>
        <v>1403.1939917749773</v>
      </c>
      <c r="K11" s="176">
        <f>('Balance Volumetrico'!K11/'Balance Volumetrico'!$AK11)*$AM11</f>
        <v>13433.795562006553</v>
      </c>
      <c r="L11" s="176">
        <f>('Balance Volumetrico'!L11/'Balance Volumetrico'!$AK11)*$AM11</f>
        <v>1564.0158232719757</v>
      </c>
      <c r="M11" s="176">
        <f>('Balance Volumetrico'!M11/'Balance Volumetrico'!$AK11)*$AM11</f>
        <v>150.47656748257131</v>
      </c>
      <c r="N11" s="176">
        <f>('Balance Volumetrico'!N11/'Balance Volumetrico'!$AK11)*$AM11</f>
        <v>9905.1200545402571</v>
      </c>
      <c r="O11" s="176">
        <f>('Balance Volumetrico'!O11/'Balance Volumetrico'!$AK11)*$AM11</f>
        <v>8432.3306503045897</v>
      </c>
      <c r="P11" s="176">
        <f>('Balance Volumetrico'!P11/'Balance Volumetrico'!$AK11)*$AM11</f>
        <v>2663.4352444415122</v>
      </c>
      <c r="Q11" s="176">
        <f>('Balance Volumetrico'!Q11/'Balance Volumetrico'!$AK11)*$AM11</f>
        <v>113.79790415869455</v>
      </c>
      <c r="R11" s="176">
        <f>('Balance Volumetrico'!R11/'Balance Volumetrico'!$AK11)*$AM11</f>
        <v>1562.1348661784432</v>
      </c>
      <c r="S11" s="176">
        <f>('Balance Volumetrico'!S11/'Balance Volumetrico'!$AK11)*$AM11</f>
        <v>5318.4061819621302</v>
      </c>
      <c r="T11" s="176">
        <f>('Balance Volumetrico'!T11/'Balance Volumetrico'!$AK11)*$AM11</f>
        <v>6493.063886872952</v>
      </c>
      <c r="U11" s="176">
        <f>('Balance Volumetrico'!U11/'Balance Volumetrico'!$AK11)*$AM11</f>
        <v>0</v>
      </c>
      <c r="V11" s="176">
        <f>('Balance Volumetrico'!V11/'Balance Volumetrico'!$AK11)*$AM11</f>
        <v>0</v>
      </c>
      <c r="W11" s="176">
        <f>('Balance Volumetrico'!W11/'Balance Volumetrico'!$AK11)*$AM11</f>
        <v>0</v>
      </c>
      <c r="X11" s="176">
        <f>('Balance Volumetrico'!X11/'Balance Volumetrico'!$AK11)*$AM11</f>
        <v>0</v>
      </c>
      <c r="Y11" s="176">
        <f>('Balance Volumetrico'!Y11/'Balance Volumetrico'!$AK11)*$AM11</f>
        <v>0</v>
      </c>
      <c r="Z11" s="176">
        <f>('Balance Volumetrico'!Z11/'Balance Volumetrico'!$AK11)*$AM11</f>
        <v>0</v>
      </c>
      <c r="AA11" s="176">
        <f>('Balance Volumetrico'!AA11/'Balance Volumetrico'!$AK11)*$AM11</f>
        <v>0</v>
      </c>
      <c r="AB11" s="176">
        <f>('Balance Volumetrico'!AB11/'Balance Volumetrico'!$AK11)*$AM11</f>
        <v>0</v>
      </c>
      <c r="AC11" s="176">
        <f>('Balance Volumetrico'!AC11/'Balance Volumetrico'!$AK11)*$AM11</f>
        <v>0</v>
      </c>
      <c r="AD11" s="176">
        <f>('Balance Volumetrico'!AD11/'Balance Volumetrico'!$AK11)*$AM11</f>
        <v>0</v>
      </c>
      <c r="AE11" s="176">
        <f>('Balance Volumetrico'!AE11/'Balance Volumetrico'!$AK11)*$AM11</f>
        <v>0</v>
      </c>
      <c r="AF11" s="176">
        <f>('Balance Volumetrico'!AF11/'Balance Volumetrico'!$AK11)*$AM11</f>
        <v>0</v>
      </c>
      <c r="AG11" s="176">
        <f>('Balance Volumetrico'!AG11/'Balance Volumetrico'!$AK11)*$AM11</f>
        <v>0</v>
      </c>
      <c r="AH11" s="176">
        <f>('Balance Volumetrico'!AH11/'Balance Volumetrico'!$AK11)*$AM11</f>
        <v>0</v>
      </c>
      <c r="AI11" s="176">
        <f>('Balance Volumetrico'!AI11/'Balance Volumetrico'!$AK11)*$AM11</f>
        <v>0</v>
      </c>
      <c r="AJ11" s="176">
        <f>('Balance Volumetrico'!AJ11/'Balance Volumetrico'!$AK11)*$AM11</f>
        <v>0</v>
      </c>
      <c r="AK11" s="176">
        <f>SUM(B11:AJ11)</f>
        <v>85529</v>
      </c>
      <c r="AL11" s="176">
        <f t="shared" ref="AL11:AL16" si="0">AVERAGE($AK$11:$AK$17)</f>
        <v>85515</v>
      </c>
      <c r="AM11" s="176">
        <f>'Balance Volumetrico'!AM11</f>
        <v>85529</v>
      </c>
      <c r="AN11" s="176">
        <f>AVERAGE($AM$11:$AM$17)</f>
        <v>85515</v>
      </c>
      <c r="AO11" s="176">
        <f>'Balance Volumetrico'!AO11</f>
        <v>85529</v>
      </c>
      <c r="AP11" s="229">
        <f>(AN11-AL11)/AN11</f>
        <v>0</v>
      </c>
      <c r="AQ11" s="229">
        <f>(AO11-AN11)/AO11</f>
        <v>1.6368717043342023E-4</v>
      </c>
    </row>
    <row r="12" spans="1:43" x14ac:dyDescent="0.2">
      <c r="A12" s="294">
        <f>'Balance Volumetrico'!A12</f>
        <v>20130302</v>
      </c>
      <c r="B12" s="176">
        <f>('Balance Volumetrico'!B12/'Balance Volumetrico'!$AK12)*$AM12</f>
        <v>38</v>
      </c>
      <c r="C12" s="176">
        <f>('Balance Volumetrico'!C12/'Balance Volumetrico'!$AK12)*$AM12</f>
        <v>4009</v>
      </c>
      <c r="D12" s="176">
        <f>('Balance Volumetrico'!D12/'Balance Volumetrico'!$AK12)*$AM12</f>
        <v>144</v>
      </c>
      <c r="E12" s="176">
        <f>('Balance Volumetrico'!E12/'Balance Volumetrico'!$AK12)*$AM12</f>
        <v>982</v>
      </c>
      <c r="F12" s="176">
        <f>('Balance Volumetrico'!F12/'Balance Volumetrico'!$AK12)*$AM12</f>
        <v>26</v>
      </c>
      <c r="G12" s="176">
        <f>('Balance Volumetrico'!G12/'Balance Volumetrico'!$AK12)*$AM12</f>
        <v>9583</v>
      </c>
      <c r="H12" s="176">
        <f>('Balance Volumetrico'!H12/'Balance Volumetrico'!$AK12)*$AM12</f>
        <v>1182</v>
      </c>
      <c r="I12" s="176">
        <f>('Balance Volumetrico'!I12/'Balance Volumetrico'!$AK12)*$AM12</f>
        <v>11772</v>
      </c>
      <c r="J12" s="176">
        <f>('Balance Volumetrico'!J12/'Balance Volumetrico'!$AK12)*$AM12</f>
        <v>367</v>
      </c>
      <c r="K12" s="176">
        <f>('Balance Volumetrico'!K12/'Balance Volumetrico'!$AK12)*$AM12</f>
        <v>4417</v>
      </c>
      <c r="L12" s="176">
        <f>('Balance Volumetrico'!L12/'Balance Volumetrico'!$AK12)*$AM12</f>
        <v>81</v>
      </c>
      <c r="M12" s="176">
        <f>('Balance Volumetrico'!M12/'Balance Volumetrico'!$AK12)*$AM12</f>
        <v>0</v>
      </c>
      <c r="N12" s="176">
        <f>('Balance Volumetrico'!N12/'Balance Volumetrico'!$AK12)*$AM12</f>
        <v>9440</v>
      </c>
      <c r="O12" s="176">
        <f>('Balance Volumetrico'!O12/'Balance Volumetrico'!$AK12)*$AM12</f>
        <v>6668</v>
      </c>
      <c r="P12" s="176">
        <f>('Balance Volumetrico'!P12/'Balance Volumetrico'!$AK12)*$AM12</f>
        <v>214</v>
      </c>
      <c r="Q12" s="176">
        <f>('Balance Volumetrico'!Q12/'Balance Volumetrico'!$AK12)*$AM12</f>
        <v>51</v>
      </c>
      <c r="R12" s="176">
        <f>('Balance Volumetrico'!R12/'Balance Volumetrico'!$AK12)*$AM12</f>
        <v>564</v>
      </c>
      <c r="S12" s="176">
        <f>('Balance Volumetrico'!S12/'Balance Volumetrico'!$AK12)*$AM12</f>
        <v>6599</v>
      </c>
      <c r="T12" s="176">
        <f>('Balance Volumetrico'!T12/'Balance Volumetrico'!$AK12)*$AM12</f>
        <v>193</v>
      </c>
      <c r="U12" s="176">
        <f>('Balance Volumetrico'!U12/'Balance Volumetrico'!$AK12)*$AM12</f>
        <v>0</v>
      </c>
      <c r="V12" s="176">
        <f>('Balance Volumetrico'!V12/'Balance Volumetrico'!$AK12)*$AM12</f>
        <v>0</v>
      </c>
      <c r="W12" s="176">
        <f>('Balance Volumetrico'!W12/'Balance Volumetrico'!$AK12)*$AM12</f>
        <v>0</v>
      </c>
      <c r="X12" s="176">
        <f>('Balance Volumetrico'!X12/'Balance Volumetrico'!$AK12)*$AM12</f>
        <v>0</v>
      </c>
      <c r="Y12" s="176">
        <f>('Balance Volumetrico'!Y12/'Balance Volumetrico'!$AK12)*$AM12</f>
        <v>0</v>
      </c>
      <c r="Z12" s="176">
        <f>('Balance Volumetrico'!Z12/'Balance Volumetrico'!$AK12)*$AM12</f>
        <v>0</v>
      </c>
      <c r="AA12" s="176">
        <f>('Balance Volumetrico'!AA12/'Balance Volumetrico'!$AK12)*$AM12</f>
        <v>0</v>
      </c>
      <c r="AB12" s="176">
        <f>('Balance Volumetrico'!AB12/'Balance Volumetrico'!$AK12)*$AM12</f>
        <v>0</v>
      </c>
      <c r="AC12" s="176">
        <f>('Balance Volumetrico'!AC12/'Balance Volumetrico'!$AK12)*$AM12</f>
        <v>0</v>
      </c>
      <c r="AD12" s="176">
        <f>('Balance Volumetrico'!AD12/'Balance Volumetrico'!$AK12)*$AM12</f>
        <v>0</v>
      </c>
      <c r="AE12" s="176">
        <f>('Balance Volumetrico'!AE12/'Balance Volumetrico'!$AK12)*$AM12</f>
        <v>0</v>
      </c>
      <c r="AF12" s="176">
        <f>('Balance Volumetrico'!AF12/'Balance Volumetrico'!$AK12)*$AM12</f>
        <v>0</v>
      </c>
      <c r="AG12" s="176">
        <f>('Balance Volumetrico'!AG12/'Balance Volumetrico'!$AK12)*$AM12</f>
        <v>0</v>
      </c>
      <c r="AH12" s="176">
        <f>('Balance Volumetrico'!AH12/'Balance Volumetrico'!$AK12)*$AM12</f>
        <v>0</v>
      </c>
      <c r="AI12" s="176">
        <f>('Balance Volumetrico'!AI12/'Balance Volumetrico'!$AK12)*$AM12</f>
        <v>0</v>
      </c>
      <c r="AJ12" s="176">
        <f>('Balance Volumetrico'!AJ12/'Balance Volumetrico'!$AK12)*$AM12</f>
        <v>0</v>
      </c>
      <c r="AK12" s="176">
        <f t="shared" ref="AK12:AK41" si="1">SUM(B12:AJ12)</f>
        <v>56330</v>
      </c>
      <c r="AL12" s="176">
        <f t="shared" si="0"/>
        <v>85515</v>
      </c>
      <c r="AM12" s="176">
        <f>'Balance Volumetrico'!AM12</f>
        <v>56330</v>
      </c>
      <c r="AN12" s="176">
        <f t="shared" ref="AN12:AN17" si="2">AVERAGE($AM$11:$AM$17)</f>
        <v>85515</v>
      </c>
      <c r="AO12" s="176">
        <f>'Balance Volumetrico'!AO12</f>
        <v>56330</v>
      </c>
      <c r="AP12" s="229">
        <f t="shared" ref="AP12:AP41" si="3">(AN12-AL12)/AN12</f>
        <v>0</v>
      </c>
      <c r="AQ12" s="229">
        <f t="shared" ref="AQ12:AQ41" si="4">(AO12-AN12)/AO12</f>
        <v>-0.5181075803301971</v>
      </c>
    </row>
    <row r="13" spans="1:43" x14ac:dyDescent="0.2">
      <c r="A13" s="294">
        <f>'Balance Volumetrico'!A13</f>
        <v>20130303</v>
      </c>
      <c r="B13" s="176">
        <f>('Balance Volumetrico'!B13/'Balance Volumetrico'!$AK13)*$AM13</f>
        <v>9</v>
      </c>
      <c r="C13" s="176">
        <f>('Balance Volumetrico'!C13/'Balance Volumetrico'!$AK13)*$AM13</f>
        <v>619</v>
      </c>
      <c r="D13" s="176">
        <f>('Balance Volumetrico'!D13/'Balance Volumetrico'!$AK13)*$AM13</f>
        <v>792</v>
      </c>
      <c r="E13" s="176">
        <f>('Balance Volumetrico'!E13/'Balance Volumetrico'!$AK13)*$AM13</f>
        <v>873</v>
      </c>
      <c r="F13" s="176">
        <f>('Balance Volumetrico'!F13/'Balance Volumetrico'!$AK13)*$AM13</f>
        <v>1968</v>
      </c>
      <c r="G13" s="176">
        <f>('Balance Volumetrico'!G13/'Balance Volumetrico'!$AK13)*$AM13</f>
        <v>7334</v>
      </c>
      <c r="H13" s="176">
        <f>('Balance Volumetrico'!H13/'Balance Volumetrico'!$AK13)*$AM13</f>
        <v>1088</v>
      </c>
      <c r="I13" s="176">
        <f>('Balance Volumetrico'!I13/'Balance Volumetrico'!$AK13)*$AM13</f>
        <v>10242</v>
      </c>
      <c r="J13" s="176">
        <f>('Balance Volumetrico'!J13/'Balance Volumetrico'!$AK13)*$AM13</f>
        <v>239</v>
      </c>
      <c r="K13" s="176">
        <f>('Balance Volumetrico'!K13/'Balance Volumetrico'!$AK13)*$AM13</f>
        <v>3878</v>
      </c>
      <c r="L13" s="176">
        <f>('Balance Volumetrico'!L13/'Balance Volumetrico'!$AK13)*$AM13</f>
        <v>261</v>
      </c>
      <c r="M13" s="176">
        <f>('Balance Volumetrico'!M13/'Balance Volumetrico'!$AK13)*$AM13</f>
        <v>0</v>
      </c>
      <c r="N13" s="176">
        <f>('Balance Volumetrico'!N13/'Balance Volumetrico'!$AK13)*$AM13</f>
        <v>9745</v>
      </c>
      <c r="O13" s="176">
        <f>('Balance Volumetrico'!O13/'Balance Volumetrico'!$AK13)*$AM13</f>
        <v>6320</v>
      </c>
      <c r="P13" s="176">
        <f>('Balance Volumetrico'!P13/'Balance Volumetrico'!$AK13)*$AM13</f>
        <v>844.00000000000011</v>
      </c>
      <c r="Q13" s="176">
        <f>('Balance Volumetrico'!Q13/'Balance Volumetrico'!$AK13)*$AM13</f>
        <v>20</v>
      </c>
      <c r="R13" s="176">
        <f>('Balance Volumetrico'!R13/'Balance Volumetrico'!$AK13)*$AM13</f>
        <v>0</v>
      </c>
      <c r="S13" s="176">
        <f>('Balance Volumetrico'!S13/'Balance Volumetrico'!$AK13)*$AM13</f>
        <v>6391</v>
      </c>
      <c r="T13" s="176">
        <f>('Balance Volumetrico'!T13/'Balance Volumetrico'!$AK13)*$AM13</f>
        <v>219.99999999999997</v>
      </c>
      <c r="U13" s="176">
        <f>('Balance Volumetrico'!U13/'Balance Volumetrico'!$AK13)*$AM13</f>
        <v>0</v>
      </c>
      <c r="V13" s="176">
        <f>('Balance Volumetrico'!V13/'Balance Volumetrico'!$AK13)*$AM13</f>
        <v>0</v>
      </c>
      <c r="W13" s="176">
        <f>('Balance Volumetrico'!W13/'Balance Volumetrico'!$AK13)*$AM13</f>
        <v>0</v>
      </c>
      <c r="X13" s="176">
        <f>('Balance Volumetrico'!X13/'Balance Volumetrico'!$AK13)*$AM13</f>
        <v>0</v>
      </c>
      <c r="Y13" s="176">
        <f>('Balance Volumetrico'!Y13/'Balance Volumetrico'!$AK13)*$AM13</f>
        <v>0</v>
      </c>
      <c r="Z13" s="176">
        <f>('Balance Volumetrico'!Z13/'Balance Volumetrico'!$AK13)*$AM13</f>
        <v>0</v>
      </c>
      <c r="AA13" s="176">
        <f>('Balance Volumetrico'!AA13/'Balance Volumetrico'!$AK13)*$AM13</f>
        <v>0</v>
      </c>
      <c r="AB13" s="176">
        <f>('Balance Volumetrico'!AB13/'Balance Volumetrico'!$AK13)*$AM13</f>
        <v>0</v>
      </c>
      <c r="AC13" s="176">
        <f>('Balance Volumetrico'!AC13/'Balance Volumetrico'!$AK13)*$AM13</f>
        <v>0</v>
      </c>
      <c r="AD13" s="176">
        <f>('Balance Volumetrico'!AD13/'Balance Volumetrico'!$AK13)*$AM13</f>
        <v>0</v>
      </c>
      <c r="AE13" s="176">
        <f>('Balance Volumetrico'!AE13/'Balance Volumetrico'!$AK13)*$AM13</f>
        <v>0</v>
      </c>
      <c r="AF13" s="176">
        <f>('Balance Volumetrico'!AF13/'Balance Volumetrico'!$AK13)*$AM13</f>
        <v>0</v>
      </c>
      <c r="AG13" s="176">
        <f>('Balance Volumetrico'!AG13/'Balance Volumetrico'!$AK13)*$AM13</f>
        <v>0</v>
      </c>
      <c r="AH13" s="176">
        <f>('Balance Volumetrico'!AH13/'Balance Volumetrico'!$AK13)*$AM13</f>
        <v>0</v>
      </c>
      <c r="AI13" s="176">
        <f>('Balance Volumetrico'!AI13/'Balance Volumetrico'!$AK13)*$AM13</f>
        <v>0</v>
      </c>
      <c r="AJ13" s="176">
        <f>('Balance Volumetrico'!AJ13/'Balance Volumetrico'!$AK13)*$AM13</f>
        <v>0</v>
      </c>
      <c r="AK13" s="176">
        <f t="shared" si="1"/>
        <v>50843</v>
      </c>
      <c r="AL13" s="176">
        <f t="shared" si="0"/>
        <v>85515</v>
      </c>
      <c r="AM13" s="176">
        <f>'Balance Volumetrico'!AM13</f>
        <v>50843</v>
      </c>
      <c r="AN13" s="176">
        <f t="shared" si="2"/>
        <v>85515</v>
      </c>
      <c r="AO13" s="176">
        <f>'Balance Volumetrico'!AO13</f>
        <v>50843</v>
      </c>
      <c r="AP13" s="229">
        <f t="shared" si="3"/>
        <v>0</v>
      </c>
      <c r="AQ13" s="229">
        <f t="shared" si="4"/>
        <v>-0.68194245028814193</v>
      </c>
    </row>
    <row r="14" spans="1:43" x14ac:dyDescent="0.2">
      <c r="A14" s="294">
        <f>'Balance Volumetrico'!A14</f>
        <v>20130304</v>
      </c>
      <c r="B14" s="176">
        <f>('Balance Volumetrico'!B14/'Balance Volumetrico'!$AK14)*$AM14</f>
        <v>87</v>
      </c>
      <c r="C14" s="176">
        <f>('Balance Volumetrico'!C14/'Balance Volumetrico'!$AK14)*$AM14</f>
        <v>5907</v>
      </c>
      <c r="D14" s="176">
        <f>('Balance Volumetrico'!D14/'Balance Volumetrico'!$AK14)*$AM14</f>
        <v>1778.9999999999998</v>
      </c>
      <c r="E14" s="176">
        <f>('Balance Volumetrico'!E14/'Balance Volumetrico'!$AK14)*$AM14</f>
        <v>3952</v>
      </c>
      <c r="F14" s="176">
        <f>('Balance Volumetrico'!F14/'Balance Volumetrico'!$AK14)*$AM14</f>
        <v>4730</v>
      </c>
      <c r="G14" s="176">
        <f>('Balance Volumetrico'!G14/'Balance Volumetrico'!$AK14)*$AM14</f>
        <v>9132</v>
      </c>
      <c r="H14" s="176">
        <f>('Balance Volumetrico'!H14/'Balance Volumetrico'!$AK14)*$AM14</f>
        <v>1042</v>
      </c>
      <c r="I14" s="176">
        <f>('Balance Volumetrico'!I14/'Balance Volumetrico'!$AK14)*$AM14</f>
        <v>11912</v>
      </c>
      <c r="J14" s="176">
        <f>('Balance Volumetrico'!J14/'Balance Volumetrico'!$AK14)*$AM14</f>
        <v>1471</v>
      </c>
      <c r="K14" s="176">
        <f>('Balance Volumetrico'!K14/'Balance Volumetrico'!$AK14)*$AM14</f>
        <v>22517</v>
      </c>
      <c r="L14" s="176">
        <f>('Balance Volumetrico'!L14/'Balance Volumetrico'!$AK14)*$AM14</f>
        <v>1971</v>
      </c>
      <c r="M14" s="176">
        <f>('Balance Volumetrico'!M14/'Balance Volumetrico'!$AK14)*$AM14</f>
        <v>446</v>
      </c>
      <c r="N14" s="176">
        <f>('Balance Volumetrico'!N14/'Balance Volumetrico'!$AK14)*$AM14</f>
        <v>10137</v>
      </c>
      <c r="O14" s="176">
        <f>('Balance Volumetrico'!O14/'Balance Volumetrico'!$AK14)*$AM14</f>
        <v>10917</v>
      </c>
      <c r="P14" s="176">
        <f>('Balance Volumetrico'!P14/'Balance Volumetrico'!$AK14)*$AM14</f>
        <v>3085</v>
      </c>
      <c r="Q14" s="176">
        <f>('Balance Volumetrico'!Q14/'Balance Volumetrico'!$AK14)*$AM14</f>
        <v>413</v>
      </c>
      <c r="R14" s="176">
        <f>('Balance Volumetrico'!R14/'Balance Volumetrico'!$AK14)*$AM14</f>
        <v>362</v>
      </c>
      <c r="S14" s="176">
        <f>('Balance Volumetrico'!S14/'Balance Volumetrico'!$AK14)*$AM14</f>
        <v>6235</v>
      </c>
      <c r="T14" s="176">
        <f>('Balance Volumetrico'!T14/'Balance Volumetrico'!$AK14)*$AM14</f>
        <v>4266</v>
      </c>
      <c r="U14" s="176">
        <f>('Balance Volumetrico'!U14/'Balance Volumetrico'!$AK14)*$AM14</f>
        <v>0</v>
      </c>
      <c r="V14" s="176">
        <f>('Balance Volumetrico'!V14/'Balance Volumetrico'!$AK14)*$AM14</f>
        <v>0</v>
      </c>
      <c r="W14" s="176">
        <f>('Balance Volumetrico'!W14/'Balance Volumetrico'!$AK14)*$AM14</f>
        <v>0</v>
      </c>
      <c r="X14" s="176">
        <f>('Balance Volumetrico'!X14/'Balance Volumetrico'!$AK14)*$AM14</f>
        <v>0</v>
      </c>
      <c r="Y14" s="176">
        <f>('Balance Volumetrico'!Y14/'Balance Volumetrico'!$AK14)*$AM14</f>
        <v>0</v>
      </c>
      <c r="Z14" s="176">
        <f>('Balance Volumetrico'!Z14/'Balance Volumetrico'!$AK14)*$AM14</f>
        <v>0</v>
      </c>
      <c r="AA14" s="176">
        <f>('Balance Volumetrico'!AA14/'Balance Volumetrico'!$AK14)*$AM14</f>
        <v>0</v>
      </c>
      <c r="AB14" s="176">
        <f>('Balance Volumetrico'!AB14/'Balance Volumetrico'!$AK14)*$AM14</f>
        <v>0</v>
      </c>
      <c r="AC14" s="176">
        <f>('Balance Volumetrico'!AC14/'Balance Volumetrico'!$AK14)*$AM14</f>
        <v>0</v>
      </c>
      <c r="AD14" s="176">
        <f>('Balance Volumetrico'!AD14/'Balance Volumetrico'!$AK14)*$AM14</f>
        <v>0</v>
      </c>
      <c r="AE14" s="176">
        <f>('Balance Volumetrico'!AE14/'Balance Volumetrico'!$AK14)*$AM14</f>
        <v>0</v>
      </c>
      <c r="AF14" s="176">
        <f>('Balance Volumetrico'!AF14/'Balance Volumetrico'!$AK14)*$AM14</f>
        <v>0</v>
      </c>
      <c r="AG14" s="176">
        <f>('Balance Volumetrico'!AG14/'Balance Volumetrico'!$AK14)*$AM14</f>
        <v>0</v>
      </c>
      <c r="AH14" s="176">
        <f>('Balance Volumetrico'!AH14/'Balance Volumetrico'!$AK14)*$AM14</f>
        <v>0</v>
      </c>
      <c r="AI14" s="176">
        <f>('Balance Volumetrico'!AI14/'Balance Volumetrico'!$AK14)*$AM14</f>
        <v>0</v>
      </c>
      <c r="AJ14" s="176">
        <f>('Balance Volumetrico'!AJ14/'Balance Volumetrico'!$AK14)*$AM14</f>
        <v>0</v>
      </c>
      <c r="AK14" s="176">
        <f t="shared" si="1"/>
        <v>100361</v>
      </c>
      <c r="AL14" s="176">
        <f t="shared" si="0"/>
        <v>85515</v>
      </c>
      <c r="AM14" s="176">
        <f>'Balance Volumetrico'!AM14</f>
        <v>100361</v>
      </c>
      <c r="AN14" s="176">
        <f t="shared" si="2"/>
        <v>85515</v>
      </c>
      <c r="AO14" s="176">
        <f>'Balance Volumetrico'!AO14</f>
        <v>100361</v>
      </c>
      <c r="AP14" s="229">
        <f t="shared" si="3"/>
        <v>0</v>
      </c>
      <c r="AQ14" s="229">
        <f t="shared" si="4"/>
        <v>0.1479259871862576</v>
      </c>
    </row>
    <row r="15" spans="1:43" x14ac:dyDescent="0.2">
      <c r="A15" s="294">
        <f>'Balance Volumetrico'!A15</f>
        <v>20130305</v>
      </c>
      <c r="B15" s="176">
        <f>('Balance Volumetrico'!B15/'Balance Volumetrico'!$AK15)*$AM15</f>
        <v>69</v>
      </c>
      <c r="C15" s="176">
        <f>('Balance Volumetrico'!C15/'Balance Volumetrico'!$AK15)*$AM15</f>
        <v>6557</v>
      </c>
      <c r="D15" s="176">
        <f>('Balance Volumetrico'!D15/'Balance Volumetrico'!$AK15)*$AM15</f>
        <v>1643</v>
      </c>
      <c r="E15" s="176">
        <f>('Balance Volumetrico'!E15/'Balance Volumetrico'!$AK15)*$AM15</f>
        <v>3792.0000000000005</v>
      </c>
      <c r="F15" s="176">
        <f>('Balance Volumetrico'!F15/'Balance Volumetrico'!$AK15)*$AM15</f>
        <v>5021</v>
      </c>
      <c r="G15" s="176">
        <f>('Balance Volumetrico'!G15/'Balance Volumetrico'!$AK15)*$AM15</f>
        <v>9647</v>
      </c>
      <c r="H15" s="176">
        <f>('Balance Volumetrico'!H15/'Balance Volumetrico'!$AK15)*$AM15</f>
        <v>1092</v>
      </c>
      <c r="I15" s="176">
        <f>('Balance Volumetrico'!I15/'Balance Volumetrico'!$AK15)*$AM15</f>
        <v>11520</v>
      </c>
      <c r="J15" s="176">
        <f>('Balance Volumetrico'!J15/'Balance Volumetrico'!$AK15)*$AM15</f>
        <v>1372</v>
      </c>
      <c r="K15" s="176">
        <f>('Balance Volumetrico'!K15/'Balance Volumetrico'!$AK15)*$AM15</f>
        <v>26107</v>
      </c>
      <c r="L15" s="176">
        <f>('Balance Volumetrico'!L15/'Balance Volumetrico'!$AK15)*$AM15</f>
        <v>1886.0000000000002</v>
      </c>
      <c r="M15" s="176">
        <f>('Balance Volumetrico'!M15/'Balance Volumetrico'!$AK15)*$AM15</f>
        <v>574</v>
      </c>
      <c r="N15" s="176">
        <f>('Balance Volumetrico'!N15/'Balance Volumetrico'!$AK15)*$AM15</f>
        <v>10618</v>
      </c>
      <c r="O15" s="176">
        <f>('Balance Volumetrico'!O15/'Balance Volumetrico'!$AK15)*$AM15</f>
        <v>11179</v>
      </c>
      <c r="P15" s="176">
        <f>('Balance Volumetrico'!P15/'Balance Volumetrico'!$AK15)*$AM15</f>
        <v>2920</v>
      </c>
      <c r="Q15" s="176">
        <f>('Balance Volumetrico'!Q15/'Balance Volumetrico'!$AK15)*$AM15</f>
        <v>404</v>
      </c>
      <c r="R15" s="176">
        <f>('Balance Volumetrico'!R15/'Balance Volumetrico'!$AK15)*$AM15</f>
        <v>1622</v>
      </c>
      <c r="S15" s="176">
        <f>('Balance Volumetrico'!S15/'Balance Volumetrico'!$AK15)*$AM15</f>
        <v>5700</v>
      </c>
      <c r="T15" s="176">
        <f>('Balance Volumetrico'!T15/'Balance Volumetrico'!$AK15)*$AM15</f>
        <v>6691</v>
      </c>
      <c r="U15" s="176">
        <f>('Balance Volumetrico'!U15/'Balance Volumetrico'!$AK15)*$AM15</f>
        <v>0</v>
      </c>
      <c r="V15" s="176">
        <f>('Balance Volumetrico'!V15/'Balance Volumetrico'!$AK15)*$AM15</f>
        <v>0</v>
      </c>
      <c r="W15" s="176">
        <f>('Balance Volumetrico'!W15/'Balance Volumetrico'!$AK15)*$AM15</f>
        <v>0</v>
      </c>
      <c r="X15" s="176">
        <f>('Balance Volumetrico'!X15/'Balance Volumetrico'!$AK15)*$AM15</f>
        <v>0</v>
      </c>
      <c r="Y15" s="176">
        <f>('Balance Volumetrico'!Y15/'Balance Volumetrico'!$AK15)*$AM15</f>
        <v>0</v>
      </c>
      <c r="Z15" s="176">
        <f>('Balance Volumetrico'!Z15/'Balance Volumetrico'!$AK15)*$AM15</f>
        <v>0</v>
      </c>
      <c r="AA15" s="176">
        <f>('Balance Volumetrico'!AA15/'Balance Volumetrico'!$AK15)*$AM15</f>
        <v>0</v>
      </c>
      <c r="AB15" s="176">
        <f>('Balance Volumetrico'!AB15/'Balance Volumetrico'!$AK15)*$AM15</f>
        <v>0</v>
      </c>
      <c r="AC15" s="176">
        <f>('Balance Volumetrico'!AC15/'Balance Volumetrico'!$AK15)*$AM15</f>
        <v>0</v>
      </c>
      <c r="AD15" s="176">
        <f>('Balance Volumetrico'!AD15/'Balance Volumetrico'!$AK15)*$AM15</f>
        <v>0</v>
      </c>
      <c r="AE15" s="176">
        <f>('Balance Volumetrico'!AE15/'Balance Volumetrico'!$AK15)*$AM15</f>
        <v>0</v>
      </c>
      <c r="AF15" s="176">
        <f>('Balance Volumetrico'!AF15/'Balance Volumetrico'!$AK15)*$AM15</f>
        <v>0</v>
      </c>
      <c r="AG15" s="176">
        <f>('Balance Volumetrico'!AG15/'Balance Volumetrico'!$AK15)*$AM15</f>
        <v>0</v>
      </c>
      <c r="AH15" s="176">
        <f>('Balance Volumetrico'!AH15/'Balance Volumetrico'!$AK15)*$AM15</f>
        <v>0</v>
      </c>
      <c r="AI15" s="176">
        <f>('Balance Volumetrico'!AI15/'Balance Volumetrico'!$AK15)*$AM15</f>
        <v>0</v>
      </c>
      <c r="AJ15" s="176">
        <f>('Balance Volumetrico'!AJ15/'Balance Volumetrico'!$AK15)*$AM15</f>
        <v>0</v>
      </c>
      <c r="AK15" s="176">
        <f t="shared" si="1"/>
        <v>108414</v>
      </c>
      <c r="AL15" s="176">
        <f t="shared" si="0"/>
        <v>85515</v>
      </c>
      <c r="AM15" s="176">
        <f>'Balance Volumetrico'!AM15</f>
        <v>108414</v>
      </c>
      <c r="AN15" s="176">
        <f t="shared" si="2"/>
        <v>85515</v>
      </c>
      <c r="AO15" s="176">
        <f>'Balance Volumetrico'!AO15</f>
        <v>108414</v>
      </c>
      <c r="AP15" s="229">
        <f t="shared" si="3"/>
        <v>0</v>
      </c>
      <c r="AQ15" s="229">
        <f t="shared" si="4"/>
        <v>0.21121810836238863</v>
      </c>
    </row>
    <row r="16" spans="1:43" x14ac:dyDescent="0.2">
      <c r="A16" s="294">
        <f>'Balance Volumetrico'!A16</f>
        <v>20130306</v>
      </c>
      <c r="B16" s="176">
        <f>('Balance Volumetrico'!B16/'Balance Volumetrico'!$AK16)*$AM16</f>
        <v>0</v>
      </c>
      <c r="C16" s="176">
        <f>('Balance Volumetrico'!C16/'Balance Volumetrico'!$AK16)*$AM16</f>
        <v>7109</v>
      </c>
      <c r="D16" s="176">
        <f>('Balance Volumetrico'!D16/'Balance Volumetrico'!$AK16)*$AM16</f>
        <v>1548</v>
      </c>
      <c r="E16" s="176">
        <f>('Balance Volumetrico'!E16/'Balance Volumetrico'!$AK16)*$AM16</f>
        <v>2997</v>
      </c>
      <c r="F16" s="176">
        <f>('Balance Volumetrico'!F16/'Balance Volumetrico'!$AK16)*$AM16</f>
        <v>4966</v>
      </c>
      <c r="G16" s="176">
        <f>('Balance Volumetrico'!G16/'Balance Volumetrico'!$AK16)*$AM16</f>
        <v>8511</v>
      </c>
      <c r="H16" s="176">
        <f>('Balance Volumetrico'!H16/'Balance Volumetrico'!$AK16)*$AM16</f>
        <v>1102</v>
      </c>
      <c r="I16" s="176">
        <f>('Balance Volumetrico'!I16/'Balance Volumetrico'!$AK16)*$AM16</f>
        <v>11426</v>
      </c>
      <c r="J16" s="176">
        <f>('Balance Volumetrico'!J16/'Balance Volumetrico'!$AK16)*$AM16</f>
        <v>1495</v>
      </c>
      <c r="K16" s="176">
        <f>('Balance Volumetrico'!K16/'Balance Volumetrico'!$AK16)*$AM16</f>
        <v>20523</v>
      </c>
      <c r="L16" s="176">
        <f>('Balance Volumetrico'!L16/'Balance Volumetrico'!$AK16)*$AM16</f>
        <v>1855</v>
      </c>
      <c r="M16" s="176">
        <f>('Balance Volumetrico'!M16/'Balance Volumetrico'!$AK16)*$AM16</f>
        <v>450</v>
      </c>
      <c r="N16" s="176">
        <f>('Balance Volumetrico'!N16/'Balance Volumetrico'!$AK16)*$AM16</f>
        <v>8998</v>
      </c>
      <c r="O16" s="176">
        <f>('Balance Volumetrico'!O16/'Balance Volumetrico'!$AK16)*$AM16</f>
        <v>11075</v>
      </c>
      <c r="P16" s="176">
        <f>('Balance Volumetrico'!P16/'Balance Volumetrico'!$AK16)*$AM16</f>
        <v>2988</v>
      </c>
      <c r="Q16" s="176">
        <f>('Balance Volumetrico'!Q16/'Balance Volumetrico'!$AK16)*$AM16</f>
        <v>520</v>
      </c>
      <c r="R16" s="176">
        <f>('Balance Volumetrico'!R16/'Balance Volumetrico'!$AK16)*$AM16</f>
        <v>1584</v>
      </c>
      <c r="S16" s="176">
        <f>('Balance Volumetrico'!S16/'Balance Volumetrico'!$AK16)*$AM16</f>
        <v>5869</v>
      </c>
      <c r="T16" s="176">
        <f>('Balance Volumetrico'!T16/'Balance Volumetrico'!$AK16)*$AM16</f>
        <v>6180</v>
      </c>
      <c r="U16" s="176">
        <f>('Balance Volumetrico'!U16/'Balance Volumetrico'!$AK16)*$AM16</f>
        <v>0</v>
      </c>
      <c r="V16" s="176">
        <f>('Balance Volumetrico'!V16/'Balance Volumetrico'!$AK16)*$AM16</f>
        <v>0</v>
      </c>
      <c r="W16" s="176">
        <f>('Balance Volumetrico'!W16/'Balance Volumetrico'!$AK16)*$AM16</f>
        <v>0</v>
      </c>
      <c r="X16" s="176">
        <f>('Balance Volumetrico'!X16/'Balance Volumetrico'!$AK16)*$AM16</f>
        <v>0</v>
      </c>
      <c r="Y16" s="176">
        <f>('Balance Volumetrico'!Y16/'Balance Volumetrico'!$AK16)*$AM16</f>
        <v>0</v>
      </c>
      <c r="Z16" s="176">
        <f>('Balance Volumetrico'!Z16/'Balance Volumetrico'!$AK16)*$AM16</f>
        <v>0</v>
      </c>
      <c r="AA16" s="176">
        <f>('Balance Volumetrico'!AA16/'Balance Volumetrico'!$AK16)*$AM16</f>
        <v>0</v>
      </c>
      <c r="AB16" s="176">
        <f>('Balance Volumetrico'!AB16/'Balance Volumetrico'!$AK16)*$AM16</f>
        <v>0</v>
      </c>
      <c r="AC16" s="176">
        <f>('Balance Volumetrico'!AC16/'Balance Volumetrico'!$AK16)*$AM16</f>
        <v>0</v>
      </c>
      <c r="AD16" s="176">
        <f>('Balance Volumetrico'!AD16/'Balance Volumetrico'!$AK16)*$AM16</f>
        <v>0</v>
      </c>
      <c r="AE16" s="176">
        <f>('Balance Volumetrico'!AE16/'Balance Volumetrico'!$AK16)*$AM16</f>
        <v>0</v>
      </c>
      <c r="AF16" s="176">
        <f>('Balance Volumetrico'!AF16/'Balance Volumetrico'!$AK16)*$AM16</f>
        <v>0</v>
      </c>
      <c r="AG16" s="176">
        <f>('Balance Volumetrico'!AG16/'Balance Volumetrico'!$AK16)*$AM16</f>
        <v>0</v>
      </c>
      <c r="AH16" s="176">
        <f>('Balance Volumetrico'!AH16/'Balance Volumetrico'!$AK16)*$AM16</f>
        <v>0</v>
      </c>
      <c r="AI16" s="176">
        <f>('Balance Volumetrico'!AI16/'Balance Volumetrico'!$AK16)*$AM16</f>
        <v>0</v>
      </c>
      <c r="AJ16" s="176">
        <f>('Balance Volumetrico'!AJ16/'Balance Volumetrico'!$AK16)*$AM16</f>
        <v>0</v>
      </c>
      <c r="AK16" s="176">
        <f t="shared" si="1"/>
        <v>99196</v>
      </c>
      <c r="AL16" s="176">
        <f t="shared" si="0"/>
        <v>85515</v>
      </c>
      <c r="AM16" s="176">
        <f>'Balance Volumetrico'!AM16</f>
        <v>99196</v>
      </c>
      <c r="AN16" s="176">
        <f t="shared" si="2"/>
        <v>85515</v>
      </c>
      <c r="AO16" s="176">
        <f>'Balance Volumetrico'!AO16</f>
        <v>99196</v>
      </c>
      <c r="AP16" s="229">
        <f t="shared" si="3"/>
        <v>0</v>
      </c>
      <c r="AQ16" s="229">
        <f t="shared" si="4"/>
        <v>0.13791886769627806</v>
      </c>
    </row>
    <row r="17" spans="1:43" x14ac:dyDescent="0.2">
      <c r="A17" s="294">
        <f>'Balance Volumetrico'!A17</f>
        <v>20130307</v>
      </c>
      <c r="B17" s="176">
        <f>('Balance Volumetrico'!B17/'Balance Volumetrico'!$AK17)*$AM17</f>
        <v>1</v>
      </c>
      <c r="C17" s="176">
        <f>('Balance Volumetrico'!C17/'Balance Volumetrico'!$AK17)*$AM17</f>
        <v>7269</v>
      </c>
      <c r="D17" s="176">
        <f>('Balance Volumetrico'!D17/'Balance Volumetrico'!$AK17)*$AM17</f>
        <v>1133</v>
      </c>
      <c r="E17" s="176">
        <f>('Balance Volumetrico'!E17/'Balance Volumetrico'!$AK17)*$AM17</f>
        <v>3074.9999999999995</v>
      </c>
      <c r="F17" s="176">
        <f>('Balance Volumetrico'!F17/'Balance Volumetrico'!$AK17)*$AM17</f>
        <v>4523</v>
      </c>
      <c r="G17" s="176">
        <f>('Balance Volumetrico'!G17/'Balance Volumetrico'!$AK17)*$AM17</f>
        <v>9021</v>
      </c>
      <c r="H17" s="176">
        <f>('Balance Volumetrico'!H17/'Balance Volumetrico'!$AK17)*$AM17</f>
        <v>1095</v>
      </c>
      <c r="I17" s="176">
        <f>('Balance Volumetrico'!I17/'Balance Volumetrico'!$AK17)*$AM17</f>
        <v>11171</v>
      </c>
      <c r="J17" s="176">
        <f>('Balance Volumetrico'!J17/'Balance Volumetrico'!$AK17)*$AM17</f>
        <v>1626</v>
      </c>
      <c r="K17" s="176">
        <f>('Balance Volumetrico'!K17/'Balance Volumetrico'!$AK17)*$AM17</f>
        <v>21685</v>
      </c>
      <c r="L17" s="176">
        <f>('Balance Volumetrico'!L17/'Balance Volumetrico'!$AK17)*$AM17</f>
        <v>1762</v>
      </c>
      <c r="M17" s="176">
        <f>('Balance Volumetrico'!M17/'Balance Volumetrico'!$AK17)*$AM17</f>
        <v>191</v>
      </c>
      <c r="N17" s="176">
        <f>('Balance Volumetrico'!N17/'Balance Volumetrico'!$AK17)*$AM17</f>
        <v>8925</v>
      </c>
      <c r="O17" s="176">
        <f>('Balance Volumetrico'!O17/'Balance Volumetrico'!$AK17)*$AM17</f>
        <v>10193</v>
      </c>
      <c r="P17" s="176">
        <f>('Balance Volumetrico'!P17/'Balance Volumetrico'!$AK17)*$AM17</f>
        <v>2677</v>
      </c>
      <c r="Q17" s="176">
        <f>('Balance Volumetrico'!Q17/'Balance Volumetrico'!$AK17)*$AM17</f>
        <v>529</v>
      </c>
      <c r="R17" s="176">
        <f>('Balance Volumetrico'!R17/'Balance Volumetrico'!$AK17)*$AM17</f>
        <v>1641</v>
      </c>
      <c r="S17" s="176">
        <f>('Balance Volumetrico'!S17/'Balance Volumetrico'!$AK17)*$AM17</f>
        <v>5768</v>
      </c>
      <c r="T17" s="176">
        <f>('Balance Volumetrico'!T17/'Balance Volumetrico'!$AK17)*$AM17</f>
        <v>5647</v>
      </c>
      <c r="U17" s="176">
        <f>('Balance Volumetrico'!U17/'Balance Volumetrico'!$AK17)*$AM17</f>
        <v>0</v>
      </c>
      <c r="V17" s="176">
        <f>('Balance Volumetrico'!V17/'Balance Volumetrico'!$AK17)*$AM17</f>
        <v>0</v>
      </c>
      <c r="W17" s="176">
        <f>('Balance Volumetrico'!W17/'Balance Volumetrico'!$AK17)*$AM17</f>
        <v>0</v>
      </c>
      <c r="X17" s="176">
        <f>('Balance Volumetrico'!X17/'Balance Volumetrico'!$AK17)*$AM17</f>
        <v>0</v>
      </c>
      <c r="Y17" s="176">
        <f>('Balance Volumetrico'!Y17/'Balance Volumetrico'!$AK17)*$AM17</f>
        <v>0</v>
      </c>
      <c r="Z17" s="176">
        <f>('Balance Volumetrico'!Z17/'Balance Volumetrico'!$AK17)*$AM17</f>
        <v>0</v>
      </c>
      <c r="AA17" s="176">
        <f>('Balance Volumetrico'!AA17/'Balance Volumetrico'!$AK17)*$AM17</f>
        <v>0</v>
      </c>
      <c r="AB17" s="176">
        <f>('Balance Volumetrico'!AB17/'Balance Volumetrico'!$AK17)*$AM17</f>
        <v>0</v>
      </c>
      <c r="AC17" s="176">
        <f>('Balance Volumetrico'!AC17/'Balance Volumetrico'!$AK17)*$AM17</f>
        <v>0</v>
      </c>
      <c r="AD17" s="176">
        <f>('Balance Volumetrico'!AD17/'Balance Volumetrico'!$AK17)*$AM17</f>
        <v>0</v>
      </c>
      <c r="AE17" s="176">
        <f>('Balance Volumetrico'!AE17/'Balance Volumetrico'!$AK17)*$AM17</f>
        <v>0</v>
      </c>
      <c r="AF17" s="176">
        <f>('Balance Volumetrico'!AF17/'Balance Volumetrico'!$AK17)*$AM17</f>
        <v>0</v>
      </c>
      <c r="AG17" s="176">
        <f>('Balance Volumetrico'!AG17/'Balance Volumetrico'!$AK17)*$AM17</f>
        <v>0</v>
      </c>
      <c r="AH17" s="176">
        <f>('Balance Volumetrico'!AH17/'Balance Volumetrico'!$AK17)*$AM17</f>
        <v>0</v>
      </c>
      <c r="AI17" s="176">
        <f>('Balance Volumetrico'!AI17/'Balance Volumetrico'!$AK17)*$AM17</f>
        <v>0</v>
      </c>
      <c r="AJ17" s="176">
        <f>('Balance Volumetrico'!AJ17/'Balance Volumetrico'!$AK17)*$AM17</f>
        <v>0</v>
      </c>
      <c r="AK17" s="176">
        <f t="shared" si="1"/>
        <v>97932</v>
      </c>
      <c r="AL17" s="176">
        <f>AVERAGE($AK$11:$AK$17)</f>
        <v>85515</v>
      </c>
      <c r="AM17" s="176">
        <f>'Balance Volumetrico'!AM17</f>
        <v>97932</v>
      </c>
      <c r="AN17" s="176">
        <f t="shared" si="2"/>
        <v>85515</v>
      </c>
      <c r="AO17" s="176">
        <f>'Balance Volumetrico'!AO17</f>
        <v>97932</v>
      </c>
      <c r="AP17" s="229">
        <f t="shared" si="3"/>
        <v>0</v>
      </c>
      <c r="AQ17" s="229">
        <f t="shared" si="4"/>
        <v>0.12679205979659355</v>
      </c>
    </row>
    <row r="18" spans="1:43" x14ac:dyDescent="0.2">
      <c r="A18" s="294">
        <f>'Balance Volumetrico'!A18</f>
        <v>20130308</v>
      </c>
      <c r="B18" s="176">
        <f>('Balance Volumetrico'!B18/'Balance Volumetrico'!$AK18)*$AM18</f>
        <v>0</v>
      </c>
      <c r="C18" s="176">
        <f>('Balance Volumetrico'!C18/'Balance Volumetrico'!$AK18)*$AM18</f>
        <v>5276</v>
      </c>
      <c r="D18" s="176">
        <f>('Balance Volumetrico'!D18/'Balance Volumetrico'!$AK18)*$AM18</f>
        <v>775</v>
      </c>
      <c r="E18" s="176">
        <f>('Balance Volumetrico'!E18/'Balance Volumetrico'!$AK18)*$AM18</f>
        <v>3364</v>
      </c>
      <c r="F18" s="176">
        <f>('Balance Volumetrico'!F18/'Balance Volumetrico'!$AK18)*$AM18</f>
        <v>4532</v>
      </c>
      <c r="G18" s="176">
        <f>('Balance Volumetrico'!G18/'Balance Volumetrico'!$AK18)*$AM18</f>
        <v>8088.9999999999991</v>
      </c>
      <c r="H18" s="176">
        <f>('Balance Volumetrico'!H18/'Balance Volumetrico'!$AK18)*$AM18</f>
        <v>992.99999999999989</v>
      </c>
      <c r="I18" s="176">
        <f>('Balance Volumetrico'!I18/'Balance Volumetrico'!$AK18)*$AM18</f>
        <v>11330</v>
      </c>
      <c r="J18" s="176">
        <f>('Balance Volumetrico'!J18/'Balance Volumetrico'!$AK18)*$AM18</f>
        <v>1636</v>
      </c>
      <c r="K18" s="176">
        <f>('Balance Volumetrico'!K18/'Balance Volumetrico'!$AK18)*$AM18</f>
        <v>26546</v>
      </c>
      <c r="L18" s="176">
        <f>('Balance Volumetrico'!L18/'Balance Volumetrico'!$AK18)*$AM18</f>
        <v>1591</v>
      </c>
      <c r="M18" s="176">
        <f>('Balance Volumetrico'!M18/'Balance Volumetrico'!$AK18)*$AM18</f>
        <v>0</v>
      </c>
      <c r="N18" s="176">
        <f>('Balance Volumetrico'!N18/'Balance Volumetrico'!$AK18)*$AM18</f>
        <v>9128</v>
      </c>
      <c r="O18" s="176">
        <f>('Balance Volumetrico'!O18/'Balance Volumetrico'!$AK18)*$AM18</f>
        <v>8846</v>
      </c>
      <c r="P18" s="176">
        <f>('Balance Volumetrico'!P18/'Balance Volumetrico'!$AK18)*$AM18</f>
        <v>2742</v>
      </c>
      <c r="Q18" s="176">
        <f>('Balance Volumetrico'!Q18/'Balance Volumetrico'!$AK18)*$AM18</f>
        <v>267</v>
      </c>
      <c r="R18" s="176">
        <f>('Balance Volumetrico'!R18/'Balance Volumetrico'!$AK18)*$AM18</f>
        <v>1526</v>
      </c>
      <c r="S18" s="176">
        <f>('Balance Volumetrico'!S18/'Balance Volumetrico'!$AK18)*$AM18</f>
        <v>5965</v>
      </c>
      <c r="T18" s="176">
        <f>('Balance Volumetrico'!T18/'Balance Volumetrico'!$AK18)*$AM18</f>
        <v>4631</v>
      </c>
      <c r="U18" s="176">
        <f>('Balance Volumetrico'!U18/'Balance Volumetrico'!$AK18)*$AM18</f>
        <v>0</v>
      </c>
      <c r="V18" s="176">
        <f>('Balance Volumetrico'!V18/'Balance Volumetrico'!$AK18)*$AM18</f>
        <v>0</v>
      </c>
      <c r="W18" s="176">
        <f>('Balance Volumetrico'!W18/'Balance Volumetrico'!$AK18)*$AM18</f>
        <v>0</v>
      </c>
      <c r="X18" s="176">
        <f>('Balance Volumetrico'!X18/'Balance Volumetrico'!$AK18)*$AM18</f>
        <v>0</v>
      </c>
      <c r="Y18" s="176">
        <f>('Balance Volumetrico'!Y18/'Balance Volumetrico'!$AK18)*$AM18</f>
        <v>0</v>
      </c>
      <c r="Z18" s="176">
        <f>('Balance Volumetrico'!Z18/'Balance Volumetrico'!$AK18)*$AM18</f>
        <v>0</v>
      </c>
      <c r="AA18" s="176">
        <f>('Balance Volumetrico'!AA18/'Balance Volumetrico'!$AK18)*$AM18</f>
        <v>0</v>
      </c>
      <c r="AB18" s="176">
        <f>('Balance Volumetrico'!AB18/'Balance Volumetrico'!$AK18)*$AM18</f>
        <v>0</v>
      </c>
      <c r="AC18" s="176">
        <f>('Balance Volumetrico'!AC18/'Balance Volumetrico'!$AK18)*$AM18</f>
        <v>0</v>
      </c>
      <c r="AD18" s="176">
        <f>('Balance Volumetrico'!AD18/'Balance Volumetrico'!$AK18)*$AM18</f>
        <v>0</v>
      </c>
      <c r="AE18" s="176">
        <f>('Balance Volumetrico'!AE18/'Balance Volumetrico'!$AK18)*$AM18</f>
        <v>0</v>
      </c>
      <c r="AF18" s="176">
        <f>('Balance Volumetrico'!AF18/'Balance Volumetrico'!$AK18)*$AM18</f>
        <v>0</v>
      </c>
      <c r="AG18" s="176">
        <f>('Balance Volumetrico'!AG18/'Balance Volumetrico'!$AK18)*$AM18</f>
        <v>0</v>
      </c>
      <c r="AH18" s="176">
        <f>('Balance Volumetrico'!AH18/'Balance Volumetrico'!$AK18)*$AM18</f>
        <v>0</v>
      </c>
      <c r="AI18" s="176">
        <f>('Balance Volumetrico'!AI18/'Balance Volumetrico'!$AK18)*$AM18</f>
        <v>0</v>
      </c>
      <c r="AJ18" s="176">
        <f>('Balance Volumetrico'!AJ18/'Balance Volumetrico'!$AK18)*$AM18</f>
        <v>0</v>
      </c>
      <c r="AK18" s="176">
        <f t="shared" si="1"/>
        <v>97237</v>
      </c>
      <c r="AL18" s="176">
        <f t="shared" ref="AL18:AL24" si="5">AVERAGE($AK$18:$AK$24)</f>
        <v>89663.428571428565</v>
      </c>
      <c r="AM18" s="176">
        <f>'Balance Volumetrico'!AM18</f>
        <v>97237</v>
      </c>
      <c r="AN18" s="176">
        <f>AVERAGE($AM$18:$AM$24)</f>
        <v>89663.428571428565</v>
      </c>
      <c r="AO18" s="176">
        <f>'Balance Volumetrico'!AO18</f>
        <v>97237</v>
      </c>
      <c r="AP18" s="229">
        <f t="shared" si="3"/>
        <v>0</v>
      </c>
      <c r="AQ18" s="229">
        <f t="shared" si="4"/>
        <v>7.7887752898294221E-2</v>
      </c>
    </row>
    <row r="19" spans="1:43" x14ac:dyDescent="0.2">
      <c r="A19" s="294">
        <f>'Balance Volumetrico'!A19</f>
        <v>20130309</v>
      </c>
      <c r="B19" s="176">
        <f>('Balance Volumetrico'!B19/'Balance Volumetrico'!$AK19)*$AM19</f>
        <v>0</v>
      </c>
      <c r="C19" s="176">
        <f>('Balance Volumetrico'!C19/'Balance Volumetrico'!$AK19)*$AM19</f>
        <v>2742</v>
      </c>
      <c r="D19" s="176">
        <f>('Balance Volumetrico'!D19/'Balance Volumetrico'!$AK19)*$AM19</f>
        <v>104</v>
      </c>
      <c r="E19" s="176">
        <f>('Balance Volumetrico'!E19/'Balance Volumetrico'!$AK19)*$AM19</f>
        <v>2122</v>
      </c>
      <c r="F19" s="176">
        <f>('Balance Volumetrico'!F19/'Balance Volumetrico'!$AK19)*$AM19</f>
        <v>1057</v>
      </c>
      <c r="G19" s="176">
        <f>('Balance Volumetrico'!G19/'Balance Volumetrico'!$AK19)*$AM19</f>
        <v>7706.9999999999991</v>
      </c>
      <c r="H19" s="176">
        <f>('Balance Volumetrico'!H19/'Balance Volumetrico'!$AK19)*$AM19</f>
        <v>1067</v>
      </c>
      <c r="I19" s="176">
        <f>('Balance Volumetrico'!I19/'Balance Volumetrico'!$AK19)*$AM19</f>
        <v>11099</v>
      </c>
      <c r="J19" s="176">
        <f>('Balance Volumetrico'!J19/'Balance Volumetrico'!$AK19)*$AM19</f>
        <v>426</v>
      </c>
      <c r="K19" s="176">
        <f>('Balance Volumetrico'!K19/'Balance Volumetrico'!$AK19)*$AM19</f>
        <v>8574</v>
      </c>
      <c r="L19" s="176">
        <f>('Balance Volumetrico'!L19/'Balance Volumetrico'!$AK19)*$AM19</f>
        <v>35</v>
      </c>
      <c r="M19" s="176">
        <f>('Balance Volumetrico'!M19/'Balance Volumetrico'!$AK19)*$AM19</f>
        <v>0</v>
      </c>
      <c r="N19" s="176">
        <f>('Balance Volumetrico'!N19/'Balance Volumetrico'!$AK19)*$AM19</f>
        <v>8870</v>
      </c>
      <c r="O19" s="176">
        <f>('Balance Volumetrico'!O19/'Balance Volumetrico'!$AK19)*$AM19</f>
        <v>6459</v>
      </c>
      <c r="P19" s="176">
        <f>('Balance Volumetrico'!P19/'Balance Volumetrico'!$AK19)*$AM19</f>
        <v>232</v>
      </c>
      <c r="Q19" s="176">
        <f>('Balance Volumetrico'!Q19/'Balance Volumetrico'!$AK19)*$AM19</f>
        <v>217</v>
      </c>
      <c r="R19" s="176">
        <f>('Balance Volumetrico'!R19/'Balance Volumetrico'!$AK19)*$AM19</f>
        <v>382</v>
      </c>
      <c r="S19" s="176">
        <f>('Balance Volumetrico'!S19/'Balance Volumetrico'!$AK19)*$AM19</f>
        <v>5580</v>
      </c>
      <c r="T19" s="176">
        <f>('Balance Volumetrico'!T19/'Balance Volumetrico'!$AK19)*$AM19</f>
        <v>363</v>
      </c>
      <c r="U19" s="176">
        <f>('Balance Volumetrico'!U19/'Balance Volumetrico'!$AK19)*$AM19</f>
        <v>0</v>
      </c>
      <c r="V19" s="176">
        <f>('Balance Volumetrico'!V19/'Balance Volumetrico'!$AK19)*$AM19</f>
        <v>0</v>
      </c>
      <c r="W19" s="176">
        <f>('Balance Volumetrico'!W19/'Balance Volumetrico'!$AK19)*$AM19</f>
        <v>0</v>
      </c>
      <c r="X19" s="176">
        <f>('Balance Volumetrico'!X19/'Balance Volumetrico'!$AK19)*$AM19</f>
        <v>0</v>
      </c>
      <c r="Y19" s="176">
        <f>('Balance Volumetrico'!Y19/'Balance Volumetrico'!$AK19)*$AM19</f>
        <v>0</v>
      </c>
      <c r="Z19" s="176">
        <f>('Balance Volumetrico'!Z19/'Balance Volumetrico'!$AK19)*$AM19</f>
        <v>0</v>
      </c>
      <c r="AA19" s="176">
        <f>('Balance Volumetrico'!AA19/'Balance Volumetrico'!$AK19)*$AM19</f>
        <v>0</v>
      </c>
      <c r="AB19" s="176">
        <f>('Balance Volumetrico'!AB19/'Balance Volumetrico'!$AK19)*$AM19</f>
        <v>0</v>
      </c>
      <c r="AC19" s="176">
        <f>('Balance Volumetrico'!AC19/'Balance Volumetrico'!$AK19)*$AM19</f>
        <v>0</v>
      </c>
      <c r="AD19" s="176">
        <f>('Balance Volumetrico'!AD19/'Balance Volumetrico'!$AK19)*$AM19</f>
        <v>0</v>
      </c>
      <c r="AE19" s="176">
        <f>('Balance Volumetrico'!AE19/'Balance Volumetrico'!$AK19)*$AM19</f>
        <v>0</v>
      </c>
      <c r="AF19" s="176">
        <f>('Balance Volumetrico'!AF19/'Balance Volumetrico'!$AK19)*$AM19</f>
        <v>0</v>
      </c>
      <c r="AG19" s="176">
        <f>('Balance Volumetrico'!AG19/'Balance Volumetrico'!$AK19)*$AM19</f>
        <v>0</v>
      </c>
      <c r="AH19" s="176">
        <f>('Balance Volumetrico'!AH19/'Balance Volumetrico'!$AK19)*$AM19</f>
        <v>0</v>
      </c>
      <c r="AI19" s="176">
        <f>('Balance Volumetrico'!AI19/'Balance Volumetrico'!$AK19)*$AM19</f>
        <v>0</v>
      </c>
      <c r="AJ19" s="176">
        <f>('Balance Volumetrico'!AJ19/'Balance Volumetrico'!$AK19)*$AM19</f>
        <v>0</v>
      </c>
      <c r="AK19" s="176">
        <f t="shared" si="1"/>
        <v>57036</v>
      </c>
      <c r="AL19" s="176">
        <f t="shared" si="5"/>
        <v>89663.428571428565</v>
      </c>
      <c r="AM19" s="176">
        <f>'Balance Volumetrico'!AM19</f>
        <v>57036</v>
      </c>
      <c r="AN19" s="176">
        <f t="shared" ref="AN19:AN24" si="6">AVERAGE($AM$18:$AM$24)</f>
        <v>89663.428571428565</v>
      </c>
      <c r="AO19" s="176">
        <f>'Balance Volumetrico'!AO19</f>
        <v>57036</v>
      </c>
      <c r="AP19" s="229">
        <f t="shared" si="3"/>
        <v>0</v>
      </c>
      <c r="AQ19" s="229">
        <f t="shared" si="4"/>
        <v>-0.57204973300071127</v>
      </c>
    </row>
    <row r="20" spans="1:43" x14ac:dyDescent="0.2">
      <c r="A20" s="294">
        <f>'Balance Volumetrico'!A20</f>
        <v>20130310</v>
      </c>
      <c r="B20" s="176">
        <f>('Balance Volumetrico'!B20/'Balance Volumetrico'!$AK20)*$AM20</f>
        <v>7</v>
      </c>
      <c r="C20" s="176">
        <f>('Balance Volumetrico'!C20/'Balance Volumetrico'!$AK20)*$AM20</f>
        <v>1129</v>
      </c>
      <c r="D20" s="176">
        <f>('Balance Volumetrico'!D20/'Balance Volumetrico'!$AK20)*$AM20</f>
        <v>571</v>
      </c>
      <c r="E20" s="176">
        <f>('Balance Volumetrico'!E20/'Balance Volumetrico'!$AK20)*$AM20</f>
        <v>2949</v>
      </c>
      <c r="F20" s="176">
        <f>('Balance Volumetrico'!F20/'Balance Volumetrico'!$AK20)*$AM20</f>
        <v>5</v>
      </c>
      <c r="G20" s="176">
        <f>('Balance Volumetrico'!G20/'Balance Volumetrico'!$AK20)*$AM20</f>
        <v>6625</v>
      </c>
      <c r="H20" s="176">
        <f>('Balance Volumetrico'!H20/'Balance Volumetrico'!$AK20)*$AM20</f>
        <v>1050</v>
      </c>
      <c r="I20" s="176">
        <f>('Balance Volumetrico'!I20/'Balance Volumetrico'!$AK20)*$AM20</f>
        <v>11272</v>
      </c>
      <c r="J20" s="176">
        <f>('Balance Volumetrico'!J20/'Balance Volumetrico'!$AK20)*$AM20</f>
        <v>367</v>
      </c>
      <c r="K20" s="176">
        <f>('Balance Volumetrico'!K20/'Balance Volumetrico'!$AK20)*$AM20</f>
        <v>11613</v>
      </c>
      <c r="L20" s="176">
        <f>('Balance Volumetrico'!L20/'Balance Volumetrico'!$AK20)*$AM20</f>
        <v>243</v>
      </c>
      <c r="M20" s="176">
        <f>('Balance Volumetrico'!M20/'Balance Volumetrico'!$AK20)*$AM20</f>
        <v>58</v>
      </c>
      <c r="N20" s="176">
        <f>('Balance Volumetrico'!N20/'Balance Volumetrico'!$AK20)*$AM20</f>
        <v>9949</v>
      </c>
      <c r="O20" s="176">
        <f>('Balance Volumetrico'!O20/'Balance Volumetrico'!$AK20)*$AM20</f>
        <v>6752</v>
      </c>
      <c r="P20" s="176">
        <f>('Balance Volumetrico'!P20/'Balance Volumetrico'!$AK20)*$AM20</f>
        <v>2556</v>
      </c>
      <c r="Q20" s="176">
        <f>('Balance Volumetrico'!Q20/'Balance Volumetrico'!$AK20)*$AM20</f>
        <v>246</v>
      </c>
      <c r="R20" s="176">
        <f>('Balance Volumetrico'!R20/'Balance Volumetrico'!$AK20)*$AM20</f>
        <v>0</v>
      </c>
      <c r="S20" s="176">
        <f>('Balance Volumetrico'!S20/'Balance Volumetrico'!$AK20)*$AM20</f>
        <v>5718</v>
      </c>
      <c r="T20" s="176">
        <f>('Balance Volumetrico'!T20/'Balance Volumetrico'!$AK20)*$AM20</f>
        <v>160</v>
      </c>
      <c r="U20" s="176">
        <f>('Balance Volumetrico'!U20/'Balance Volumetrico'!$AK20)*$AM20</f>
        <v>0</v>
      </c>
      <c r="V20" s="176">
        <f>('Balance Volumetrico'!V20/'Balance Volumetrico'!$AK20)*$AM20</f>
        <v>0</v>
      </c>
      <c r="W20" s="176">
        <f>('Balance Volumetrico'!W20/'Balance Volumetrico'!$AK20)*$AM20</f>
        <v>0</v>
      </c>
      <c r="X20" s="176">
        <f>('Balance Volumetrico'!X20/'Balance Volumetrico'!$AK20)*$AM20</f>
        <v>0</v>
      </c>
      <c r="Y20" s="176">
        <f>('Balance Volumetrico'!Y20/'Balance Volumetrico'!$AK20)*$AM20</f>
        <v>0</v>
      </c>
      <c r="Z20" s="176">
        <f>('Balance Volumetrico'!Z20/'Balance Volumetrico'!$AK20)*$AM20</f>
        <v>0</v>
      </c>
      <c r="AA20" s="176">
        <f>('Balance Volumetrico'!AA20/'Balance Volumetrico'!$AK20)*$AM20</f>
        <v>0</v>
      </c>
      <c r="AB20" s="176">
        <f>('Balance Volumetrico'!AB20/'Balance Volumetrico'!$AK20)*$AM20</f>
        <v>0</v>
      </c>
      <c r="AC20" s="176">
        <f>('Balance Volumetrico'!AC20/'Balance Volumetrico'!$AK20)*$AM20</f>
        <v>0</v>
      </c>
      <c r="AD20" s="176">
        <f>('Balance Volumetrico'!AD20/'Balance Volumetrico'!$AK20)*$AM20</f>
        <v>0</v>
      </c>
      <c r="AE20" s="176">
        <f>('Balance Volumetrico'!AE20/'Balance Volumetrico'!$AK20)*$AM20</f>
        <v>0</v>
      </c>
      <c r="AF20" s="176">
        <f>('Balance Volumetrico'!AF20/'Balance Volumetrico'!$AK20)*$AM20</f>
        <v>0</v>
      </c>
      <c r="AG20" s="176">
        <f>('Balance Volumetrico'!AG20/'Balance Volumetrico'!$AK20)*$AM20</f>
        <v>0</v>
      </c>
      <c r="AH20" s="176">
        <f>('Balance Volumetrico'!AH20/'Balance Volumetrico'!$AK20)*$AM20</f>
        <v>0</v>
      </c>
      <c r="AI20" s="176">
        <f>('Balance Volumetrico'!AI20/'Balance Volumetrico'!$AK20)*$AM20</f>
        <v>0</v>
      </c>
      <c r="AJ20" s="176">
        <f>('Balance Volumetrico'!AJ20/'Balance Volumetrico'!$AK20)*$AM20</f>
        <v>0</v>
      </c>
      <c r="AK20" s="176">
        <f t="shared" si="1"/>
        <v>61270</v>
      </c>
      <c r="AL20" s="176">
        <f t="shared" si="5"/>
        <v>89663.428571428565</v>
      </c>
      <c r="AM20" s="176">
        <f>'Balance Volumetrico'!AM20</f>
        <v>61270</v>
      </c>
      <c r="AN20" s="176">
        <f t="shared" si="6"/>
        <v>89663.428571428565</v>
      </c>
      <c r="AO20" s="176">
        <f>'Balance Volumetrico'!AO20</f>
        <v>61270</v>
      </c>
      <c r="AP20" s="229">
        <f t="shared" si="3"/>
        <v>0</v>
      </c>
      <c r="AQ20" s="229">
        <f t="shared" si="4"/>
        <v>-0.46341486161952938</v>
      </c>
    </row>
    <row r="21" spans="1:43" x14ac:dyDescent="0.2">
      <c r="A21" s="294">
        <f>'Balance Volumetrico'!A21</f>
        <v>20130311</v>
      </c>
      <c r="B21" s="176">
        <f>('Balance Volumetrico'!B21/'Balance Volumetrico'!$AK21)*$AM21</f>
        <v>82</v>
      </c>
      <c r="C21" s="176">
        <f>('Balance Volumetrico'!C21/'Balance Volumetrico'!$AK21)*$AM21</f>
        <v>5841</v>
      </c>
      <c r="D21" s="176">
        <f>('Balance Volumetrico'!D21/'Balance Volumetrico'!$AK21)*$AM21</f>
        <v>1227</v>
      </c>
      <c r="E21" s="176">
        <f>('Balance Volumetrico'!E21/'Balance Volumetrico'!$AK21)*$AM21</f>
        <v>3747</v>
      </c>
      <c r="F21" s="176">
        <f>('Balance Volumetrico'!F21/'Balance Volumetrico'!$AK21)*$AM21</f>
        <v>5</v>
      </c>
      <c r="G21" s="176">
        <f>('Balance Volumetrico'!G21/'Balance Volumetrico'!$AK21)*$AM21</f>
        <v>8072.0000000000009</v>
      </c>
      <c r="H21" s="176">
        <f>('Balance Volumetrico'!H21/'Balance Volumetrico'!$AK21)*$AM21</f>
        <v>1037</v>
      </c>
      <c r="I21" s="176">
        <f>('Balance Volumetrico'!I21/'Balance Volumetrico'!$AK21)*$AM21</f>
        <v>9583</v>
      </c>
      <c r="J21" s="176">
        <f>('Balance Volumetrico'!J21/'Balance Volumetrico'!$AK21)*$AM21</f>
        <v>1682</v>
      </c>
      <c r="K21" s="176">
        <f>('Balance Volumetrico'!K21/'Balance Volumetrico'!$AK21)*$AM21</f>
        <v>23931</v>
      </c>
      <c r="L21" s="176">
        <f>('Balance Volumetrico'!L21/'Balance Volumetrico'!$AK21)*$AM21</f>
        <v>1879</v>
      </c>
      <c r="M21" s="176">
        <f>('Balance Volumetrico'!M21/'Balance Volumetrico'!$AK21)*$AM21</f>
        <v>551</v>
      </c>
      <c r="N21" s="176">
        <f>('Balance Volumetrico'!N21/'Balance Volumetrico'!$AK21)*$AM21</f>
        <v>11051</v>
      </c>
      <c r="O21" s="176">
        <f>('Balance Volumetrico'!O21/'Balance Volumetrico'!$AK21)*$AM21</f>
        <v>9118</v>
      </c>
      <c r="P21" s="176">
        <f>('Balance Volumetrico'!P21/'Balance Volumetrico'!$AK21)*$AM21</f>
        <v>2856</v>
      </c>
      <c r="Q21" s="176">
        <f>('Balance Volumetrico'!Q21/'Balance Volumetrico'!$AK21)*$AM21</f>
        <v>483</v>
      </c>
      <c r="R21" s="176">
        <f>('Balance Volumetrico'!R21/'Balance Volumetrico'!$AK21)*$AM21</f>
        <v>356</v>
      </c>
      <c r="S21" s="176">
        <f>('Balance Volumetrico'!S21/'Balance Volumetrico'!$AK21)*$AM21</f>
        <v>5336</v>
      </c>
      <c r="T21" s="176">
        <f>('Balance Volumetrico'!T21/'Balance Volumetrico'!$AK21)*$AM21</f>
        <v>5493</v>
      </c>
      <c r="U21" s="176">
        <f>('Balance Volumetrico'!U21/'Balance Volumetrico'!$AK21)*$AM21</f>
        <v>0</v>
      </c>
      <c r="V21" s="176">
        <f>('Balance Volumetrico'!V21/'Balance Volumetrico'!$AK21)*$AM21</f>
        <v>0</v>
      </c>
      <c r="W21" s="176">
        <f>('Balance Volumetrico'!W21/'Balance Volumetrico'!$AK21)*$AM21</f>
        <v>0</v>
      </c>
      <c r="X21" s="176">
        <f>('Balance Volumetrico'!X21/'Balance Volumetrico'!$AK21)*$AM21</f>
        <v>0</v>
      </c>
      <c r="Y21" s="176">
        <f>('Balance Volumetrico'!Y21/'Balance Volumetrico'!$AK21)*$AM21</f>
        <v>0</v>
      </c>
      <c r="Z21" s="176">
        <f>('Balance Volumetrico'!Z21/'Balance Volumetrico'!$AK21)*$AM21</f>
        <v>0</v>
      </c>
      <c r="AA21" s="176">
        <f>('Balance Volumetrico'!AA21/'Balance Volumetrico'!$AK21)*$AM21</f>
        <v>0</v>
      </c>
      <c r="AB21" s="176">
        <f>('Balance Volumetrico'!AB21/'Balance Volumetrico'!$AK21)*$AM21</f>
        <v>0</v>
      </c>
      <c r="AC21" s="176">
        <f>('Balance Volumetrico'!AC21/'Balance Volumetrico'!$AK21)*$AM21</f>
        <v>0</v>
      </c>
      <c r="AD21" s="176">
        <f>('Balance Volumetrico'!AD21/'Balance Volumetrico'!$AK21)*$AM21</f>
        <v>0</v>
      </c>
      <c r="AE21" s="176">
        <f>('Balance Volumetrico'!AE21/'Balance Volumetrico'!$AK21)*$AM21</f>
        <v>0</v>
      </c>
      <c r="AF21" s="176">
        <f>('Balance Volumetrico'!AF21/'Balance Volumetrico'!$AK21)*$AM21</f>
        <v>0</v>
      </c>
      <c r="AG21" s="176">
        <f>('Balance Volumetrico'!AG21/'Balance Volumetrico'!$AK21)*$AM21</f>
        <v>0</v>
      </c>
      <c r="AH21" s="176">
        <f>('Balance Volumetrico'!AH21/'Balance Volumetrico'!$AK21)*$AM21</f>
        <v>0</v>
      </c>
      <c r="AI21" s="176">
        <f>('Balance Volumetrico'!AI21/'Balance Volumetrico'!$AK21)*$AM21</f>
        <v>0</v>
      </c>
      <c r="AJ21" s="176">
        <f>('Balance Volumetrico'!AJ21/'Balance Volumetrico'!$AK21)*$AM21</f>
        <v>0</v>
      </c>
      <c r="AK21" s="176">
        <f t="shared" si="1"/>
        <v>92330</v>
      </c>
      <c r="AL21" s="176">
        <f t="shared" si="5"/>
        <v>89663.428571428565</v>
      </c>
      <c r="AM21" s="176">
        <f>'Balance Volumetrico'!AM21</f>
        <v>92330</v>
      </c>
      <c r="AN21" s="176">
        <f t="shared" si="6"/>
        <v>89663.428571428565</v>
      </c>
      <c r="AO21" s="176">
        <f>'Balance Volumetrico'!AO21</f>
        <v>92330</v>
      </c>
      <c r="AP21" s="229">
        <f t="shared" si="3"/>
        <v>0</v>
      </c>
      <c r="AQ21" s="229">
        <f t="shared" si="4"/>
        <v>2.8880877597437831E-2</v>
      </c>
    </row>
    <row r="22" spans="1:43" x14ac:dyDescent="0.2">
      <c r="A22" s="294">
        <f>'Balance Volumetrico'!A22</f>
        <v>20130312</v>
      </c>
      <c r="B22" s="176">
        <f>('Balance Volumetrico'!B22/'Balance Volumetrico'!$AK22)*$AM22</f>
        <v>70</v>
      </c>
      <c r="C22" s="176">
        <f>('Balance Volumetrico'!C22/'Balance Volumetrico'!$AK22)*$AM22</f>
        <v>5819</v>
      </c>
      <c r="D22" s="176">
        <f>('Balance Volumetrico'!D22/'Balance Volumetrico'!$AK22)*$AM22</f>
        <v>1666</v>
      </c>
      <c r="E22" s="176">
        <f>('Balance Volumetrico'!E22/'Balance Volumetrico'!$AK22)*$AM22</f>
        <v>3833</v>
      </c>
      <c r="F22" s="176">
        <f>('Balance Volumetrico'!F22/'Balance Volumetrico'!$AK22)*$AM22</f>
        <v>3721</v>
      </c>
      <c r="G22" s="176">
        <f>('Balance Volumetrico'!G22/'Balance Volumetrico'!$AK22)*$AM22</f>
        <v>9721</v>
      </c>
      <c r="H22" s="176">
        <f>('Balance Volumetrico'!H22/'Balance Volumetrico'!$AK22)*$AM22</f>
        <v>1002.9999999999999</v>
      </c>
      <c r="I22" s="176">
        <f>('Balance Volumetrico'!I22/'Balance Volumetrico'!$AK22)*$AM22</f>
        <v>10922</v>
      </c>
      <c r="J22" s="176">
        <f>('Balance Volumetrico'!J22/'Balance Volumetrico'!$AK22)*$AM22</f>
        <v>1913</v>
      </c>
      <c r="K22" s="176">
        <f>('Balance Volumetrico'!K22/'Balance Volumetrico'!$AK22)*$AM22</f>
        <v>27861.999999999996</v>
      </c>
      <c r="L22" s="176">
        <f>('Balance Volumetrico'!L22/'Balance Volumetrico'!$AK22)*$AM22</f>
        <v>1818.0000000000002</v>
      </c>
      <c r="M22" s="176">
        <f>('Balance Volumetrico'!M22/'Balance Volumetrico'!$AK22)*$AM22</f>
        <v>385</v>
      </c>
      <c r="N22" s="176">
        <f>('Balance Volumetrico'!N22/'Balance Volumetrico'!$AK22)*$AM22</f>
        <v>9858</v>
      </c>
      <c r="O22" s="176">
        <f>('Balance Volumetrico'!O22/'Balance Volumetrico'!$AK22)*$AM22</f>
        <v>8656</v>
      </c>
      <c r="P22" s="176">
        <f>('Balance Volumetrico'!P22/'Balance Volumetrico'!$AK22)*$AM22</f>
        <v>2776</v>
      </c>
      <c r="Q22" s="176">
        <f>('Balance Volumetrico'!Q22/'Balance Volumetrico'!$AK22)*$AM22</f>
        <v>294</v>
      </c>
      <c r="R22" s="176">
        <f>('Balance Volumetrico'!R22/'Balance Volumetrico'!$AK22)*$AM22</f>
        <v>1629</v>
      </c>
      <c r="S22" s="176">
        <f>('Balance Volumetrico'!S22/'Balance Volumetrico'!$AK22)*$AM22</f>
        <v>5353</v>
      </c>
      <c r="T22" s="176">
        <f>('Balance Volumetrico'!T22/'Balance Volumetrico'!$AK22)*$AM22</f>
        <v>6757.9999999999991</v>
      </c>
      <c r="U22" s="176">
        <f>('Balance Volumetrico'!U22/'Balance Volumetrico'!$AK22)*$AM22</f>
        <v>0</v>
      </c>
      <c r="V22" s="176">
        <f>('Balance Volumetrico'!V22/'Balance Volumetrico'!$AK22)*$AM22</f>
        <v>0</v>
      </c>
      <c r="W22" s="176">
        <f>('Balance Volumetrico'!W22/'Balance Volumetrico'!$AK22)*$AM22</f>
        <v>0</v>
      </c>
      <c r="X22" s="176">
        <f>('Balance Volumetrico'!X22/'Balance Volumetrico'!$AK22)*$AM22</f>
        <v>0</v>
      </c>
      <c r="Y22" s="176">
        <f>('Balance Volumetrico'!Y22/'Balance Volumetrico'!$AK22)*$AM22</f>
        <v>0</v>
      </c>
      <c r="Z22" s="176">
        <f>('Balance Volumetrico'!Z22/'Balance Volumetrico'!$AK22)*$AM22</f>
        <v>0</v>
      </c>
      <c r="AA22" s="176">
        <f>('Balance Volumetrico'!AA22/'Balance Volumetrico'!$AK22)*$AM22</f>
        <v>0</v>
      </c>
      <c r="AB22" s="176">
        <f>('Balance Volumetrico'!AB22/'Balance Volumetrico'!$AK22)*$AM22</f>
        <v>0</v>
      </c>
      <c r="AC22" s="176">
        <f>('Balance Volumetrico'!AC22/'Balance Volumetrico'!$AK22)*$AM22</f>
        <v>0</v>
      </c>
      <c r="AD22" s="176">
        <f>('Balance Volumetrico'!AD22/'Balance Volumetrico'!$AK22)*$AM22</f>
        <v>0</v>
      </c>
      <c r="AE22" s="176">
        <f>('Balance Volumetrico'!AE22/'Balance Volumetrico'!$AK22)*$AM22</f>
        <v>0</v>
      </c>
      <c r="AF22" s="176">
        <f>('Balance Volumetrico'!AF22/'Balance Volumetrico'!$AK22)*$AM22</f>
        <v>0</v>
      </c>
      <c r="AG22" s="176">
        <f>('Balance Volumetrico'!AG22/'Balance Volumetrico'!$AK22)*$AM22</f>
        <v>0</v>
      </c>
      <c r="AH22" s="176">
        <f>('Balance Volumetrico'!AH22/'Balance Volumetrico'!$AK22)*$AM22</f>
        <v>0</v>
      </c>
      <c r="AI22" s="176">
        <f>('Balance Volumetrico'!AI22/'Balance Volumetrico'!$AK22)*$AM22</f>
        <v>0</v>
      </c>
      <c r="AJ22" s="176">
        <f>('Balance Volumetrico'!AJ22/'Balance Volumetrico'!$AK22)*$AM22</f>
        <v>0</v>
      </c>
      <c r="AK22" s="176">
        <f t="shared" si="1"/>
        <v>104057</v>
      </c>
      <c r="AL22" s="176">
        <f t="shared" si="5"/>
        <v>89663.428571428565</v>
      </c>
      <c r="AM22" s="176">
        <f>'Balance Volumetrico'!AM22</f>
        <v>104057</v>
      </c>
      <c r="AN22" s="176">
        <f t="shared" si="6"/>
        <v>89663.428571428565</v>
      </c>
      <c r="AO22" s="176">
        <f>'Balance Volumetrico'!AO22</f>
        <v>104057</v>
      </c>
      <c r="AP22" s="229">
        <f t="shared" si="3"/>
        <v>0</v>
      </c>
      <c r="AQ22" s="229">
        <f t="shared" si="4"/>
        <v>0.13832391313002906</v>
      </c>
    </row>
    <row r="23" spans="1:43" x14ac:dyDescent="0.2">
      <c r="A23" s="294">
        <f>'Balance Volumetrico'!A23</f>
        <v>20130313</v>
      </c>
      <c r="B23" s="176">
        <f>('Balance Volumetrico'!B23/'Balance Volumetrico'!$AK23)*$AM23</f>
        <v>18</v>
      </c>
      <c r="C23" s="176">
        <f>('Balance Volumetrico'!C23/'Balance Volumetrico'!$AK23)*$AM23</f>
        <v>6707</v>
      </c>
      <c r="D23" s="176">
        <f>('Balance Volumetrico'!D23/'Balance Volumetrico'!$AK23)*$AM23</f>
        <v>1516</v>
      </c>
      <c r="E23" s="176">
        <f>('Balance Volumetrico'!E23/'Balance Volumetrico'!$AK23)*$AM23</f>
        <v>4224</v>
      </c>
      <c r="F23" s="176">
        <f>('Balance Volumetrico'!F23/'Balance Volumetrico'!$AK23)*$AM23</f>
        <v>4936</v>
      </c>
      <c r="G23" s="176">
        <f>('Balance Volumetrico'!G23/'Balance Volumetrico'!$AK23)*$AM23</f>
        <v>11328</v>
      </c>
      <c r="H23" s="176">
        <f>('Balance Volumetrico'!H23/'Balance Volumetrico'!$AK23)*$AM23</f>
        <v>1086</v>
      </c>
      <c r="I23" s="176">
        <f>('Balance Volumetrico'!I23/'Balance Volumetrico'!$AK23)*$AM23</f>
        <v>11396</v>
      </c>
      <c r="J23" s="176">
        <f>('Balance Volumetrico'!J23/'Balance Volumetrico'!$AK23)*$AM23</f>
        <v>1691</v>
      </c>
      <c r="K23" s="176">
        <f>('Balance Volumetrico'!K23/'Balance Volumetrico'!$AK23)*$AM23</f>
        <v>28329</v>
      </c>
      <c r="L23" s="176">
        <f>('Balance Volumetrico'!L23/'Balance Volumetrico'!$AK23)*$AM23</f>
        <v>1825.0000000000002</v>
      </c>
      <c r="M23" s="176">
        <f>('Balance Volumetrico'!M23/'Balance Volumetrico'!$AK23)*$AM23</f>
        <v>372</v>
      </c>
      <c r="N23" s="176">
        <f>('Balance Volumetrico'!N23/'Balance Volumetrico'!$AK23)*$AM23</f>
        <v>10199</v>
      </c>
      <c r="O23" s="176">
        <f>('Balance Volumetrico'!O23/'Balance Volumetrico'!$AK23)*$AM23</f>
        <v>9290</v>
      </c>
      <c r="P23" s="176">
        <f>('Balance Volumetrico'!P23/'Balance Volumetrico'!$AK23)*$AM23</f>
        <v>2912</v>
      </c>
      <c r="Q23" s="176">
        <f>('Balance Volumetrico'!Q23/'Balance Volumetrico'!$AK23)*$AM23</f>
        <v>296</v>
      </c>
      <c r="R23" s="176">
        <f>('Balance Volumetrico'!R23/'Balance Volumetrico'!$AK23)*$AM23</f>
        <v>1632</v>
      </c>
      <c r="S23" s="176">
        <f>('Balance Volumetrico'!S23/'Balance Volumetrico'!$AK23)*$AM23</f>
        <v>6001</v>
      </c>
      <c r="T23" s="176">
        <f>('Balance Volumetrico'!T23/'Balance Volumetrico'!$AK23)*$AM23</f>
        <v>6333</v>
      </c>
      <c r="U23" s="176">
        <f>('Balance Volumetrico'!U23/'Balance Volumetrico'!$AK23)*$AM23</f>
        <v>0</v>
      </c>
      <c r="V23" s="176">
        <f>('Balance Volumetrico'!V23/'Balance Volumetrico'!$AK23)*$AM23</f>
        <v>0</v>
      </c>
      <c r="W23" s="176">
        <f>('Balance Volumetrico'!W23/'Balance Volumetrico'!$AK23)*$AM23</f>
        <v>0</v>
      </c>
      <c r="X23" s="176">
        <f>('Balance Volumetrico'!X23/'Balance Volumetrico'!$AK23)*$AM23</f>
        <v>0</v>
      </c>
      <c r="Y23" s="176">
        <f>('Balance Volumetrico'!Y23/'Balance Volumetrico'!$AK23)*$AM23</f>
        <v>0</v>
      </c>
      <c r="Z23" s="176">
        <f>('Balance Volumetrico'!Z23/'Balance Volumetrico'!$AK23)*$AM23</f>
        <v>0</v>
      </c>
      <c r="AA23" s="176">
        <f>('Balance Volumetrico'!AA23/'Balance Volumetrico'!$AK23)*$AM23</f>
        <v>0</v>
      </c>
      <c r="AB23" s="176">
        <f>('Balance Volumetrico'!AB23/'Balance Volumetrico'!$AK23)*$AM23</f>
        <v>0</v>
      </c>
      <c r="AC23" s="176">
        <f>('Balance Volumetrico'!AC23/'Balance Volumetrico'!$AK23)*$AM23</f>
        <v>0</v>
      </c>
      <c r="AD23" s="176">
        <f>('Balance Volumetrico'!AD23/'Balance Volumetrico'!$AK23)*$AM23</f>
        <v>0</v>
      </c>
      <c r="AE23" s="176">
        <f>('Balance Volumetrico'!AE23/'Balance Volumetrico'!$AK23)*$AM23</f>
        <v>0</v>
      </c>
      <c r="AF23" s="176">
        <f>('Balance Volumetrico'!AF23/'Balance Volumetrico'!$AK23)*$AM23</f>
        <v>0</v>
      </c>
      <c r="AG23" s="176">
        <f>('Balance Volumetrico'!AG23/'Balance Volumetrico'!$AK23)*$AM23</f>
        <v>0</v>
      </c>
      <c r="AH23" s="176">
        <f>('Balance Volumetrico'!AH23/'Balance Volumetrico'!$AK23)*$AM23</f>
        <v>0</v>
      </c>
      <c r="AI23" s="176">
        <f>('Balance Volumetrico'!AI23/'Balance Volumetrico'!$AK23)*$AM23</f>
        <v>0</v>
      </c>
      <c r="AJ23" s="176">
        <f>('Balance Volumetrico'!AJ23/'Balance Volumetrico'!$AK23)*$AM23</f>
        <v>0</v>
      </c>
      <c r="AK23" s="176">
        <f t="shared" si="1"/>
        <v>110091</v>
      </c>
      <c r="AL23" s="176">
        <f t="shared" si="5"/>
        <v>89663.428571428565</v>
      </c>
      <c r="AM23" s="176">
        <f>'Balance Volumetrico'!AM23</f>
        <v>110091</v>
      </c>
      <c r="AN23" s="176">
        <f t="shared" si="6"/>
        <v>89663.428571428565</v>
      </c>
      <c r="AO23" s="176">
        <f>'Balance Volumetrico'!AO23</f>
        <v>110091</v>
      </c>
      <c r="AP23" s="229">
        <f t="shared" si="3"/>
        <v>0</v>
      </c>
      <c r="AQ23" s="229">
        <f t="shared" si="4"/>
        <v>0.18555169295011795</v>
      </c>
    </row>
    <row r="24" spans="1:43" x14ac:dyDescent="0.2">
      <c r="A24" s="294">
        <f>'Balance Volumetrico'!A24</f>
        <v>20130314</v>
      </c>
      <c r="B24" s="176">
        <f>('Balance Volumetrico'!B24/'Balance Volumetrico'!$AK24)*$AM24</f>
        <v>1</v>
      </c>
      <c r="C24" s="176">
        <f>('Balance Volumetrico'!C24/'Balance Volumetrico'!$AK24)*$AM24</f>
        <v>5554</v>
      </c>
      <c r="D24" s="176">
        <f>('Balance Volumetrico'!D24/'Balance Volumetrico'!$AK24)*$AM24</f>
        <v>1355</v>
      </c>
      <c r="E24" s="176">
        <f>('Balance Volumetrico'!E24/'Balance Volumetrico'!$AK24)*$AM24</f>
        <v>3948.9999999999995</v>
      </c>
      <c r="F24" s="176">
        <f>('Balance Volumetrico'!F24/'Balance Volumetrico'!$AK24)*$AM24</f>
        <v>4959</v>
      </c>
      <c r="G24" s="176">
        <f>('Balance Volumetrico'!G24/'Balance Volumetrico'!$AK24)*$AM24</f>
        <v>9284</v>
      </c>
      <c r="H24" s="176">
        <f>('Balance Volumetrico'!H24/'Balance Volumetrico'!$AK24)*$AM24</f>
        <v>1174</v>
      </c>
      <c r="I24" s="176">
        <f>('Balance Volumetrico'!I24/'Balance Volumetrico'!$AK24)*$AM24</f>
        <v>11446</v>
      </c>
      <c r="J24" s="176">
        <f>('Balance Volumetrico'!J24/'Balance Volumetrico'!$AK24)*$AM24</f>
        <v>1735.9999999999998</v>
      </c>
      <c r="K24" s="176">
        <f>('Balance Volumetrico'!K24/'Balance Volumetrico'!$AK24)*$AM24</f>
        <v>27646</v>
      </c>
      <c r="L24" s="176">
        <f>('Balance Volumetrico'!L24/'Balance Volumetrico'!$AK24)*$AM24</f>
        <v>1978</v>
      </c>
      <c r="M24" s="176">
        <f>('Balance Volumetrico'!M24/'Balance Volumetrico'!$AK24)*$AM24</f>
        <v>394</v>
      </c>
      <c r="N24" s="176">
        <f>('Balance Volumetrico'!N24/'Balance Volumetrico'!$AK24)*$AM24</f>
        <v>9019</v>
      </c>
      <c r="O24" s="176">
        <f>('Balance Volumetrico'!O24/'Balance Volumetrico'!$AK24)*$AM24</f>
        <v>9485</v>
      </c>
      <c r="P24" s="176">
        <f>('Balance Volumetrico'!P24/'Balance Volumetrico'!$AK24)*$AM24</f>
        <v>2813</v>
      </c>
      <c r="Q24" s="176">
        <f>('Balance Volumetrico'!Q24/'Balance Volumetrico'!$AK24)*$AM24</f>
        <v>339</v>
      </c>
      <c r="R24" s="176">
        <f>('Balance Volumetrico'!R24/'Balance Volumetrico'!$AK24)*$AM24</f>
        <v>1657</v>
      </c>
      <c r="S24" s="176">
        <f>('Balance Volumetrico'!S24/'Balance Volumetrico'!$AK24)*$AM24</f>
        <v>6039</v>
      </c>
      <c r="T24" s="176">
        <f>('Balance Volumetrico'!T24/'Balance Volumetrico'!$AK24)*$AM24</f>
        <v>6795</v>
      </c>
      <c r="U24" s="176">
        <f>('Balance Volumetrico'!U24/'Balance Volumetrico'!$AK24)*$AM24</f>
        <v>0</v>
      </c>
      <c r="V24" s="176">
        <f>('Balance Volumetrico'!V24/'Balance Volumetrico'!$AK24)*$AM24</f>
        <v>0</v>
      </c>
      <c r="W24" s="176">
        <f>('Balance Volumetrico'!W24/'Balance Volumetrico'!$AK24)*$AM24</f>
        <v>0</v>
      </c>
      <c r="X24" s="176">
        <f>('Balance Volumetrico'!X24/'Balance Volumetrico'!$AK24)*$AM24</f>
        <v>0</v>
      </c>
      <c r="Y24" s="176">
        <f>('Balance Volumetrico'!Y24/'Balance Volumetrico'!$AK24)*$AM24</f>
        <v>0</v>
      </c>
      <c r="Z24" s="176">
        <f>('Balance Volumetrico'!Z24/'Balance Volumetrico'!$AK24)*$AM24</f>
        <v>0</v>
      </c>
      <c r="AA24" s="176">
        <f>('Balance Volumetrico'!AA24/'Balance Volumetrico'!$AK24)*$AM24</f>
        <v>0</v>
      </c>
      <c r="AB24" s="176">
        <f>('Balance Volumetrico'!AB24/'Balance Volumetrico'!$AK24)*$AM24</f>
        <v>0</v>
      </c>
      <c r="AC24" s="176">
        <f>('Balance Volumetrico'!AC24/'Balance Volumetrico'!$AK24)*$AM24</f>
        <v>0</v>
      </c>
      <c r="AD24" s="176">
        <f>('Balance Volumetrico'!AD24/'Balance Volumetrico'!$AK24)*$AM24</f>
        <v>0</v>
      </c>
      <c r="AE24" s="176">
        <f>('Balance Volumetrico'!AE24/'Balance Volumetrico'!$AK24)*$AM24</f>
        <v>0</v>
      </c>
      <c r="AF24" s="176">
        <f>('Balance Volumetrico'!AF24/'Balance Volumetrico'!$AK24)*$AM24</f>
        <v>0</v>
      </c>
      <c r="AG24" s="176">
        <f>('Balance Volumetrico'!AG24/'Balance Volumetrico'!$AK24)*$AM24</f>
        <v>0</v>
      </c>
      <c r="AH24" s="176">
        <f>('Balance Volumetrico'!AH24/'Balance Volumetrico'!$AK24)*$AM24</f>
        <v>0</v>
      </c>
      <c r="AI24" s="176">
        <f>('Balance Volumetrico'!AI24/'Balance Volumetrico'!$AK24)*$AM24</f>
        <v>0</v>
      </c>
      <c r="AJ24" s="176">
        <f>('Balance Volumetrico'!AJ24/'Balance Volumetrico'!$AK24)*$AM24</f>
        <v>0</v>
      </c>
      <c r="AK24" s="176">
        <f t="shared" si="1"/>
        <v>105623</v>
      </c>
      <c r="AL24" s="176">
        <f t="shared" si="5"/>
        <v>89663.428571428565</v>
      </c>
      <c r="AM24" s="176">
        <f>'Balance Volumetrico'!AM24</f>
        <v>105623</v>
      </c>
      <c r="AN24" s="176">
        <f t="shared" si="6"/>
        <v>89663.428571428565</v>
      </c>
      <c r="AO24" s="176">
        <f>'Balance Volumetrico'!AO24</f>
        <v>105623</v>
      </c>
      <c r="AP24" s="229">
        <f t="shared" si="3"/>
        <v>0</v>
      </c>
      <c r="AQ24" s="229">
        <f t="shared" si="4"/>
        <v>0.15109939528863445</v>
      </c>
    </row>
    <row r="25" spans="1:43" x14ac:dyDescent="0.2">
      <c r="A25" s="294">
        <f>'Balance Volumetrico'!A25</f>
        <v>20130315</v>
      </c>
      <c r="B25" s="176">
        <f>('Balance Volumetrico'!B25/'Balance Volumetrico'!$AK25)*$AM25</f>
        <v>0</v>
      </c>
      <c r="C25" s="176">
        <f>('Balance Volumetrico'!C25/'Balance Volumetrico'!$AK25)*$AM25</f>
        <v>5365</v>
      </c>
      <c r="D25" s="176">
        <f>('Balance Volumetrico'!D25/'Balance Volumetrico'!$AK25)*$AM25</f>
        <v>993</v>
      </c>
      <c r="E25" s="176">
        <f>('Balance Volumetrico'!E25/'Balance Volumetrico'!$AK25)*$AM25</f>
        <v>3126</v>
      </c>
      <c r="F25" s="176">
        <f>('Balance Volumetrico'!F25/'Balance Volumetrico'!$AK25)*$AM25</f>
        <v>4957</v>
      </c>
      <c r="G25" s="176">
        <f>('Balance Volumetrico'!G25/'Balance Volumetrico'!$AK25)*$AM25</f>
        <v>11527</v>
      </c>
      <c r="H25" s="176">
        <f>('Balance Volumetrico'!H25/'Balance Volumetrico'!$AK25)*$AM25</f>
        <v>1192</v>
      </c>
      <c r="I25" s="176">
        <f>('Balance Volumetrico'!I25/'Balance Volumetrico'!$AK25)*$AM25</f>
        <v>11947</v>
      </c>
      <c r="J25" s="176">
        <f>('Balance Volumetrico'!J25/'Balance Volumetrico'!$AK25)*$AM25</f>
        <v>1678</v>
      </c>
      <c r="K25" s="176">
        <f>('Balance Volumetrico'!K25/'Balance Volumetrico'!$AK25)*$AM25</f>
        <v>27822</v>
      </c>
      <c r="L25" s="176">
        <f>('Balance Volumetrico'!L25/'Balance Volumetrico'!$AK25)*$AM25</f>
        <v>1911</v>
      </c>
      <c r="M25" s="176">
        <f>('Balance Volumetrico'!M25/'Balance Volumetrico'!$AK25)*$AM25</f>
        <v>472.00000000000006</v>
      </c>
      <c r="N25" s="176">
        <f>('Balance Volumetrico'!N25/'Balance Volumetrico'!$AK25)*$AM25</f>
        <v>10871</v>
      </c>
      <c r="O25" s="176">
        <f>('Balance Volumetrico'!O25/'Balance Volumetrico'!$AK25)*$AM25</f>
        <v>8235</v>
      </c>
      <c r="P25" s="176">
        <f>('Balance Volumetrico'!P25/'Balance Volumetrico'!$AK25)*$AM25</f>
        <v>3290</v>
      </c>
      <c r="Q25" s="176">
        <f>('Balance Volumetrico'!Q25/'Balance Volumetrico'!$AK25)*$AM25</f>
        <v>282</v>
      </c>
      <c r="R25" s="176">
        <f>('Balance Volumetrico'!R25/'Balance Volumetrico'!$AK25)*$AM25</f>
        <v>1639</v>
      </c>
      <c r="S25" s="176">
        <f>('Balance Volumetrico'!S25/'Balance Volumetrico'!$AK25)*$AM25</f>
        <v>5958</v>
      </c>
      <c r="T25" s="176">
        <f>('Balance Volumetrico'!T25/'Balance Volumetrico'!$AK25)*$AM25</f>
        <v>6300</v>
      </c>
      <c r="U25" s="176">
        <f>('Balance Volumetrico'!U25/'Balance Volumetrico'!$AK25)*$AM25</f>
        <v>0</v>
      </c>
      <c r="V25" s="176">
        <f>('Balance Volumetrico'!V25/'Balance Volumetrico'!$AK25)*$AM25</f>
        <v>0</v>
      </c>
      <c r="W25" s="176">
        <f>('Balance Volumetrico'!W25/'Balance Volumetrico'!$AK25)*$AM25</f>
        <v>0</v>
      </c>
      <c r="X25" s="176">
        <f>('Balance Volumetrico'!X25/'Balance Volumetrico'!$AK25)*$AM25</f>
        <v>0</v>
      </c>
      <c r="Y25" s="176">
        <f>('Balance Volumetrico'!Y25/'Balance Volumetrico'!$AK25)*$AM25</f>
        <v>0</v>
      </c>
      <c r="Z25" s="176">
        <f>('Balance Volumetrico'!Z25/'Balance Volumetrico'!$AK25)*$AM25</f>
        <v>0</v>
      </c>
      <c r="AA25" s="176">
        <f>('Balance Volumetrico'!AA25/'Balance Volumetrico'!$AK25)*$AM25</f>
        <v>0</v>
      </c>
      <c r="AB25" s="176">
        <f>('Balance Volumetrico'!AB25/'Balance Volumetrico'!$AK25)*$AM25</f>
        <v>0</v>
      </c>
      <c r="AC25" s="176">
        <f>('Balance Volumetrico'!AC25/'Balance Volumetrico'!$AK25)*$AM25</f>
        <v>0</v>
      </c>
      <c r="AD25" s="176">
        <f>('Balance Volumetrico'!AD25/'Balance Volumetrico'!$AK25)*$AM25</f>
        <v>0</v>
      </c>
      <c r="AE25" s="176">
        <f>('Balance Volumetrico'!AE25/'Balance Volumetrico'!$AK25)*$AM25</f>
        <v>0</v>
      </c>
      <c r="AF25" s="176">
        <f>('Balance Volumetrico'!AF25/'Balance Volumetrico'!$AK25)*$AM25</f>
        <v>0</v>
      </c>
      <c r="AG25" s="176">
        <f>('Balance Volumetrico'!AG25/'Balance Volumetrico'!$AK25)*$AM25</f>
        <v>0</v>
      </c>
      <c r="AH25" s="176">
        <f>('Balance Volumetrico'!AH25/'Balance Volumetrico'!$AK25)*$AM25</f>
        <v>0</v>
      </c>
      <c r="AI25" s="176">
        <f>('Balance Volumetrico'!AI25/'Balance Volumetrico'!$AK25)*$AM25</f>
        <v>0</v>
      </c>
      <c r="AJ25" s="176">
        <f>('Balance Volumetrico'!AJ25/'Balance Volumetrico'!$AK25)*$AM25</f>
        <v>0</v>
      </c>
      <c r="AK25" s="176">
        <f t="shared" si="1"/>
        <v>107565</v>
      </c>
      <c r="AL25" s="176">
        <f>AVERAGE($AK$25:$AK$31)</f>
        <v>75310</v>
      </c>
      <c r="AM25" s="176">
        <f>'Balance Volumetrico'!AM25</f>
        <v>107565</v>
      </c>
      <c r="AN25" s="176">
        <f t="shared" ref="AN25:AN31" si="7">AVERAGE($AM$25:$AM$31)</f>
        <v>75310</v>
      </c>
      <c r="AO25" s="176">
        <f>'Balance Volumetrico'!AO25</f>
        <v>0</v>
      </c>
      <c r="AP25" s="229">
        <f t="shared" si="3"/>
        <v>0</v>
      </c>
      <c r="AQ25" s="229" t="e">
        <f t="shared" si="4"/>
        <v>#DIV/0!</v>
      </c>
    </row>
    <row r="26" spans="1:43" x14ac:dyDescent="0.2">
      <c r="A26" s="294">
        <f>'Balance Volumetrico'!A26</f>
        <v>20130316</v>
      </c>
      <c r="B26" s="176">
        <f>('Balance Volumetrico'!B26/'Balance Volumetrico'!$AK26)*$AM26</f>
        <v>0</v>
      </c>
      <c r="C26" s="176">
        <f>('Balance Volumetrico'!C26/'Balance Volumetrico'!$AK26)*$AM26</f>
        <v>1015.2977080026326</v>
      </c>
      <c r="D26" s="176">
        <f>('Balance Volumetrico'!D26/'Balance Volumetrico'!$AK26)*$AM26</f>
        <v>14.362209144759767</v>
      </c>
      <c r="E26" s="176">
        <f>('Balance Volumetrico'!E26/'Balance Volumetrico'!$AK26)*$AM26</f>
        <v>1776.4947926749003</v>
      </c>
      <c r="F26" s="176">
        <f>('Balance Volumetrico'!F26/'Balance Volumetrico'!$AK26)*$AM26</f>
        <v>958.95365674242134</v>
      </c>
      <c r="G26" s="176">
        <f>('Balance Volumetrico'!G26/'Balance Volumetrico'!$AK26)*$AM26</f>
        <v>10139.719656200394</v>
      </c>
      <c r="H26" s="176">
        <f>('Balance Volumetrico'!H26/'Balance Volumetrico'!$AK26)*$AM26</f>
        <v>1266.0839753765149</v>
      </c>
      <c r="I26" s="176">
        <f>('Balance Volumetrico'!I26/'Balance Volumetrico'!$AK26)*$AM26</f>
        <v>8423.9880560610163</v>
      </c>
      <c r="J26" s="176">
        <f>('Balance Volumetrico'!J26/'Balance Volumetrico'!$AK26)*$AM26</f>
        <v>276.19632970691862</v>
      </c>
      <c r="K26" s="176">
        <f>('Balance Volumetrico'!K26/'Balance Volumetrico'!$AK26)*$AM26</f>
        <v>9334.3311587750213</v>
      </c>
      <c r="L26" s="176">
        <f>('Balance Volumetrico'!L26/'Balance Volumetrico'!$AK26)*$AM26</f>
        <v>963.37279801773195</v>
      </c>
      <c r="M26" s="176">
        <f>('Balance Volumetrico'!M26/'Balance Volumetrico'!$AK26)*$AM26</f>
        <v>209.90921057725811</v>
      </c>
      <c r="N26" s="176">
        <f>('Balance Volumetrico'!N26/'Balance Volumetrico'!$AK26)*$AM26</f>
        <v>11151.703008246544</v>
      </c>
      <c r="O26" s="176">
        <f>('Balance Volumetrico'!O26/'Balance Volumetrico'!$AK26)*$AM26</f>
        <v>3830.2907003755467</v>
      </c>
      <c r="P26" s="176">
        <f>('Balance Volumetrico'!P26/'Balance Volumetrico'!$AK26)*$AM26</f>
        <v>258.51976460567579</v>
      </c>
      <c r="Q26" s="176">
        <f>('Balance Volumetrico'!Q26/'Balance Volumetrico'!$AK26)*$AM26</f>
        <v>181.18479228773859</v>
      </c>
      <c r="R26" s="176">
        <f>('Balance Volumetrico'!R26/'Balance Volumetrico'!$AK26)*$AM26</f>
        <v>630.83241705060198</v>
      </c>
      <c r="S26" s="176">
        <f>('Balance Volumetrico'!S26/'Balance Volumetrico'!$AK26)*$AM26</f>
        <v>6228.7796275504279</v>
      </c>
      <c r="T26" s="176">
        <f>('Balance Volumetrico'!T26/'Balance Volumetrico'!$AK26)*$AM26</f>
        <v>410.98013860389483</v>
      </c>
      <c r="U26" s="176">
        <f>('Balance Volumetrico'!U26/'Balance Volumetrico'!$AK26)*$AM26</f>
        <v>0</v>
      </c>
      <c r="V26" s="176">
        <f>('Balance Volumetrico'!V26/'Balance Volumetrico'!$AK26)*$AM26</f>
        <v>0</v>
      </c>
      <c r="W26" s="176">
        <f>('Balance Volumetrico'!W26/'Balance Volumetrico'!$AK26)*$AM26</f>
        <v>0</v>
      </c>
      <c r="X26" s="176">
        <f>('Balance Volumetrico'!X26/'Balance Volumetrico'!$AK26)*$AM26</f>
        <v>0</v>
      </c>
      <c r="Y26" s="176">
        <f>('Balance Volumetrico'!Y26/'Balance Volumetrico'!$AK26)*$AM26</f>
        <v>0</v>
      </c>
      <c r="Z26" s="176">
        <f>('Balance Volumetrico'!Z26/'Balance Volumetrico'!$AK26)*$AM26</f>
        <v>0</v>
      </c>
      <c r="AA26" s="176">
        <f>('Balance Volumetrico'!AA26/'Balance Volumetrico'!$AK26)*$AM26</f>
        <v>0</v>
      </c>
      <c r="AB26" s="176">
        <f>('Balance Volumetrico'!AB26/'Balance Volumetrico'!$AK26)*$AM26</f>
        <v>0</v>
      </c>
      <c r="AC26" s="176">
        <f>('Balance Volumetrico'!AC26/'Balance Volumetrico'!$AK26)*$AM26</f>
        <v>0</v>
      </c>
      <c r="AD26" s="176">
        <f>('Balance Volumetrico'!AD26/'Balance Volumetrico'!$AK26)*$AM26</f>
        <v>0</v>
      </c>
      <c r="AE26" s="176">
        <f>('Balance Volumetrico'!AE26/'Balance Volumetrico'!$AK26)*$AM26</f>
        <v>0</v>
      </c>
      <c r="AF26" s="176">
        <f>('Balance Volumetrico'!AF26/'Balance Volumetrico'!$AK26)*$AM26</f>
        <v>0</v>
      </c>
      <c r="AG26" s="176">
        <f>('Balance Volumetrico'!AG26/'Balance Volumetrico'!$AK26)*$AM26</f>
        <v>0</v>
      </c>
      <c r="AH26" s="176">
        <f>('Balance Volumetrico'!AH26/'Balance Volumetrico'!$AK26)*$AM26</f>
        <v>0</v>
      </c>
      <c r="AI26" s="176">
        <f>('Balance Volumetrico'!AI26/'Balance Volumetrico'!$AK26)*$AM26</f>
        <v>0</v>
      </c>
      <c r="AJ26" s="176">
        <f>('Balance Volumetrico'!AJ26/'Balance Volumetrico'!$AK26)*$AM26</f>
        <v>0</v>
      </c>
      <c r="AK26" s="176">
        <f t="shared" si="1"/>
        <v>57071.000000000007</v>
      </c>
      <c r="AL26" s="176">
        <f t="shared" ref="AL26:AL31" si="8">AVERAGE($AK$25:$AK$31)</f>
        <v>75310</v>
      </c>
      <c r="AM26" s="176">
        <f>'Balance Volumetrico'!AM26</f>
        <v>57071</v>
      </c>
      <c r="AN26" s="176">
        <f t="shared" si="7"/>
        <v>75310</v>
      </c>
      <c r="AO26" s="176">
        <f>'Balance Volumetrico'!AO26</f>
        <v>0</v>
      </c>
      <c r="AP26" s="229">
        <f t="shared" si="3"/>
        <v>0</v>
      </c>
      <c r="AQ26" s="229" t="e">
        <f t="shared" si="4"/>
        <v>#DIV/0!</v>
      </c>
    </row>
    <row r="27" spans="1:43" x14ac:dyDescent="0.2">
      <c r="A27" s="294">
        <f>'Balance Volumetrico'!A27</f>
        <v>20130317</v>
      </c>
      <c r="B27" s="176">
        <f>('Balance Volumetrico'!B27/'Balance Volumetrico'!$AK27)*$AM27</f>
        <v>0</v>
      </c>
      <c r="C27" s="176">
        <f>('Balance Volumetrico'!C27/'Balance Volumetrico'!$AK27)*$AM27</f>
        <v>678</v>
      </c>
      <c r="D27" s="176">
        <f>('Balance Volumetrico'!D27/'Balance Volumetrico'!$AK27)*$AM27</f>
        <v>0</v>
      </c>
      <c r="E27" s="176">
        <f>('Balance Volumetrico'!E27/'Balance Volumetrico'!$AK27)*$AM27</f>
        <v>903</v>
      </c>
      <c r="F27" s="176">
        <f>('Balance Volumetrico'!F27/'Balance Volumetrico'!$AK27)*$AM27</f>
        <v>0</v>
      </c>
      <c r="G27" s="176">
        <f>('Balance Volumetrico'!G27/'Balance Volumetrico'!$AK27)*$AM27</f>
        <v>6606</v>
      </c>
      <c r="H27" s="176">
        <f>('Balance Volumetrico'!H27/'Balance Volumetrico'!$AK27)*$AM27</f>
        <v>1081</v>
      </c>
      <c r="I27" s="176">
        <f>('Balance Volumetrico'!I27/'Balance Volumetrico'!$AK27)*$AM27</f>
        <v>7459</v>
      </c>
      <c r="J27" s="176">
        <f>('Balance Volumetrico'!J27/'Balance Volumetrico'!$AK27)*$AM27</f>
        <v>0</v>
      </c>
      <c r="K27" s="176">
        <f>('Balance Volumetrico'!K27/'Balance Volumetrico'!$AK27)*$AM27</f>
        <v>352.99999999999994</v>
      </c>
      <c r="L27" s="176">
        <f>('Balance Volumetrico'!L27/'Balance Volumetrico'!$AK27)*$AM27</f>
        <v>3</v>
      </c>
      <c r="M27" s="176">
        <f>('Balance Volumetrico'!M27/'Balance Volumetrico'!$AK27)*$AM27</f>
        <v>208</v>
      </c>
      <c r="N27" s="176">
        <f>('Balance Volumetrico'!N27/'Balance Volumetrico'!$AK27)*$AM27</f>
        <v>9704</v>
      </c>
      <c r="O27" s="176">
        <f>('Balance Volumetrico'!O27/'Balance Volumetrico'!$AK27)*$AM27</f>
        <v>333</v>
      </c>
      <c r="P27" s="176">
        <f>('Balance Volumetrico'!P27/'Balance Volumetrico'!$AK27)*$AM27</f>
        <v>2765</v>
      </c>
      <c r="Q27" s="176">
        <f>('Balance Volumetrico'!Q27/'Balance Volumetrico'!$AK27)*$AM27</f>
        <v>70</v>
      </c>
      <c r="R27" s="176">
        <f>('Balance Volumetrico'!R27/'Balance Volumetrico'!$AK27)*$AM27</f>
        <v>0</v>
      </c>
      <c r="S27" s="176">
        <f>('Balance Volumetrico'!S27/'Balance Volumetrico'!$AK27)*$AM27</f>
        <v>5728</v>
      </c>
      <c r="T27" s="176">
        <f>('Balance Volumetrico'!T27/'Balance Volumetrico'!$AK27)*$AM27</f>
        <v>1.9999999999999998</v>
      </c>
      <c r="U27" s="176">
        <f>('Balance Volumetrico'!U27/'Balance Volumetrico'!$AK27)*$AM27</f>
        <v>0</v>
      </c>
      <c r="V27" s="176">
        <f>('Balance Volumetrico'!V27/'Balance Volumetrico'!$AK27)*$AM27</f>
        <v>0</v>
      </c>
      <c r="W27" s="176">
        <f>('Balance Volumetrico'!W27/'Balance Volumetrico'!$AK27)*$AM27</f>
        <v>0</v>
      </c>
      <c r="X27" s="176">
        <f>('Balance Volumetrico'!X27/'Balance Volumetrico'!$AK27)*$AM27</f>
        <v>0</v>
      </c>
      <c r="Y27" s="176">
        <f>('Balance Volumetrico'!Y27/'Balance Volumetrico'!$AK27)*$AM27</f>
        <v>0</v>
      </c>
      <c r="Z27" s="176">
        <f>('Balance Volumetrico'!Z27/'Balance Volumetrico'!$AK27)*$AM27</f>
        <v>0</v>
      </c>
      <c r="AA27" s="176">
        <f>('Balance Volumetrico'!AA27/'Balance Volumetrico'!$AK27)*$AM27</f>
        <v>0</v>
      </c>
      <c r="AB27" s="176">
        <f>('Balance Volumetrico'!AB27/'Balance Volumetrico'!$AK27)*$AM27</f>
        <v>0</v>
      </c>
      <c r="AC27" s="176">
        <f>('Balance Volumetrico'!AC27/'Balance Volumetrico'!$AK27)*$AM27</f>
        <v>0</v>
      </c>
      <c r="AD27" s="176">
        <f>('Balance Volumetrico'!AD27/'Balance Volumetrico'!$AK27)*$AM27</f>
        <v>0</v>
      </c>
      <c r="AE27" s="176">
        <f>('Balance Volumetrico'!AE27/'Balance Volumetrico'!$AK27)*$AM27</f>
        <v>0</v>
      </c>
      <c r="AF27" s="176">
        <f>('Balance Volumetrico'!AF27/'Balance Volumetrico'!$AK27)*$AM27</f>
        <v>0</v>
      </c>
      <c r="AG27" s="176">
        <f>('Balance Volumetrico'!AG27/'Balance Volumetrico'!$AK27)*$AM27</f>
        <v>0</v>
      </c>
      <c r="AH27" s="176">
        <f>('Balance Volumetrico'!AH27/'Balance Volumetrico'!$AK27)*$AM27</f>
        <v>0</v>
      </c>
      <c r="AI27" s="176">
        <f>('Balance Volumetrico'!AI27/'Balance Volumetrico'!$AK27)*$AM27</f>
        <v>0</v>
      </c>
      <c r="AJ27" s="176">
        <f>('Balance Volumetrico'!AJ27/'Balance Volumetrico'!$AK27)*$AM27</f>
        <v>0</v>
      </c>
      <c r="AK27" s="176">
        <f t="shared" si="1"/>
        <v>35893</v>
      </c>
      <c r="AL27" s="176">
        <f t="shared" si="8"/>
        <v>75310</v>
      </c>
      <c r="AM27" s="176">
        <f>'Balance Volumetrico'!AM27</f>
        <v>35893</v>
      </c>
      <c r="AN27" s="176">
        <f t="shared" si="7"/>
        <v>75310</v>
      </c>
      <c r="AO27" s="176">
        <f>'Balance Volumetrico'!AO27</f>
        <v>0</v>
      </c>
      <c r="AP27" s="229">
        <f t="shared" si="3"/>
        <v>0</v>
      </c>
      <c r="AQ27" s="229" t="e">
        <f t="shared" si="4"/>
        <v>#DIV/0!</v>
      </c>
    </row>
    <row r="28" spans="1:43" x14ac:dyDescent="0.2">
      <c r="A28" s="294">
        <f>'Balance Volumetrico'!A28</f>
        <v>20130318</v>
      </c>
      <c r="B28" s="176">
        <f>('Balance Volumetrico'!B28/'Balance Volumetrico'!$AK28)*$AM28</f>
        <v>0</v>
      </c>
      <c r="C28" s="176">
        <f>('Balance Volumetrico'!C28/'Balance Volumetrico'!$AK28)*$AM28</f>
        <v>4479</v>
      </c>
      <c r="D28" s="176">
        <f>('Balance Volumetrico'!D28/'Balance Volumetrico'!$AK28)*$AM28</f>
        <v>683</v>
      </c>
      <c r="E28" s="176">
        <f>('Balance Volumetrico'!E28/'Balance Volumetrico'!$AK28)*$AM28</f>
        <v>2730</v>
      </c>
      <c r="F28" s="176">
        <f>('Balance Volumetrico'!F28/'Balance Volumetrico'!$AK28)*$AM28</f>
        <v>10</v>
      </c>
      <c r="G28" s="176">
        <f>('Balance Volumetrico'!G28/'Balance Volumetrico'!$AK28)*$AM28</f>
        <v>783</v>
      </c>
      <c r="H28" s="176">
        <f>('Balance Volumetrico'!H28/'Balance Volumetrico'!$AK28)*$AM28</f>
        <v>846</v>
      </c>
      <c r="I28" s="176">
        <f>('Balance Volumetrico'!I28/'Balance Volumetrico'!$AK28)*$AM28</f>
        <v>7394</v>
      </c>
      <c r="J28" s="176">
        <f>('Balance Volumetrico'!J28/'Balance Volumetrico'!$AK28)*$AM28</f>
        <v>278</v>
      </c>
      <c r="K28" s="176">
        <f>('Balance Volumetrico'!K28/'Balance Volumetrico'!$AK28)*$AM28</f>
        <v>5594</v>
      </c>
      <c r="L28" s="176">
        <f>('Balance Volumetrico'!L28/'Balance Volumetrico'!$AK28)*$AM28</f>
        <v>700</v>
      </c>
      <c r="M28" s="176">
        <f>('Balance Volumetrico'!M28/'Balance Volumetrico'!$AK28)*$AM28</f>
        <v>113.99999999999999</v>
      </c>
      <c r="N28" s="176">
        <f>('Balance Volumetrico'!N28/'Balance Volumetrico'!$AK28)*$AM28</f>
        <v>9912</v>
      </c>
      <c r="O28" s="176">
        <f>('Balance Volumetrico'!O28/'Balance Volumetrico'!$AK28)*$AM28</f>
        <v>1481</v>
      </c>
      <c r="P28" s="176">
        <f>('Balance Volumetrico'!P28/'Balance Volumetrico'!$AK28)*$AM28</f>
        <v>2818</v>
      </c>
      <c r="Q28" s="176">
        <f>('Balance Volumetrico'!Q28/'Balance Volumetrico'!$AK28)*$AM28</f>
        <v>188</v>
      </c>
      <c r="R28" s="176">
        <f>('Balance Volumetrico'!R28/'Balance Volumetrico'!$AK28)*$AM28</f>
        <v>0</v>
      </c>
      <c r="S28" s="176">
        <f>('Balance Volumetrico'!S28/'Balance Volumetrico'!$AK28)*$AM28</f>
        <v>5646</v>
      </c>
      <c r="T28" s="176">
        <f>('Balance Volumetrico'!T28/'Balance Volumetrico'!$AK28)*$AM28</f>
        <v>270</v>
      </c>
      <c r="U28" s="176">
        <f>('Balance Volumetrico'!U28/'Balance Volumetrico'!$AK28)*$AM28</f>
        <v>0</v>
      </c>
      <c r="V28" s="176">
        <f>('Balance Volumetrico'!V28/'Balance Volumetrico'!$AK28)*$AM28</f>
        <v>0</v>
      </c>
      <c r="W28" s="176">
        <f>('Balance Volumetrico'!W28/'Balance Volumetrico'!$AK28)*$AM28</f>
        <v>0</v>
      </c>
      <c r="X28" s="176">
        <f>('Balance Volumetrico'!X28/'Balance Volumetrico'!$AK28)*$AM28</f>
        <v>0</v>
      </c>
      <c r="Y28" s="176">
        <f>('Balance Volumetrico'!Y28/'Balance Volumetrico'!$AK28)*$AM28</f>
        <v>0</v>
      </c>
      <c r="Z28" s="176">
        <f>('Balance Volumetrico'!Z28/'Balance Volumetrico'!$AK28)*$AM28</f>
        <v>0</v>
      </c>
      <c r="AA28" s="176">
        <f>('Balance Volumetrico'!AA28/'Balance Volumetrico'!$AK28)*$AM28</f>
        <v>0</v>
      </c>
      <c r="AB28" s="176">
        <f>('Balance Volumetrico'!AB28/'Balance Volumetrico'!$AK28)*$AM28</f>
        <v>0</v>
      </c>
      <c r="AC28" s="176">
        <f>('Balance Volumetrico'!AC28/'Balance Volumetrico'!$AK28)*$AM28</f>
        <v>0</v>
      </c>
      <c r="AD28" s="176">
        <f>('Balance Volumetrico'!AD28/'Balance Volumetrico'!$AK28)*$AM28</f>
        <v>0</v>
      </c>
      <c r="AE28" s="176">
        <f>('Balance Volumetrico'!AE28/'Balance Volumetrico'!$AK28)*$AM28</f>
        <v>0</v>
      </c>
      <c r="AF28" s="176">
        <f>('Balance Volumetrico'!AF28/'Balance Volumetrico'!$AK28)*$AM28</f>
        <v>0</v>
      </c>
      <c r="AG28" s="176">
        <f>('Balance Volumetrico'!AG28/'Balance Volumetrico'!$AK28)*$AM28</f>
        <v>0</v>
      </c>
      <c r="AH28" s="176">
        <f>('Balance Volumetrico'!AH28/'Balance Volumetrico'!$AK28)*$AM28</f>
        <v>0</v>
      </c>
      <c r="AI28" s="176">
        <f>('Balance Volumetrico'!AI28/'Balance Volumetrico'!$AK28)*$AM28</f>
        <v>0</v>
      </c>
      <c r="AJ28" s="176">
        <f>('Balance Volumetrico'!AJ28/'Balance Volumetrico'!$AK28)*$AM28</f>
        <v>0</v>
      </c>
      <c r="AK28" s="176">
        <f t="shared" si="1"/>
        <v>43926</v>
      </c>
      <c r="AL28" s="176">
        <f t="shared" si="8"/>
        <v>75310</v>
      </c>
      <c r="AM28" s="176">
        <f>'Balance Volumetrico'!AM28</f>
        <v>43926</v>
      </c>
      <c r="AN28" s="176">
        <f t="shared" si="7"/>
        <v>75310</v>
      </c>
      <c r="AO28" s="176">
        <f>'Balance Volumetrico'!AO28</f>
        <v>0</v>
      </c>
      <c r="AP28" s="229">
        <f t="shared" si="3"/>
        <v>0</v>
      </c>
      <c r="AQ28" s="229" t="e">
        <f t="shared" si="4"/>
        <v>#DIV/0!</v>
      </c>
    </row>
    <row r="29" spans="1:43" x14ac:dyDescent="0.2">
      <c r="A29" s="294">
        <f>'Balance Volumetrico'!A29</f>
        <v>20130319</v>
      </c>
      <c r="B29" s="176">
        <f>('Balance Volumetrico'!B29/'Balance Volumetrico'!$AK29)*$AM29</f>
        <v>2</v>
      </c>
      <c r="C29" s="176">
        <f>('Balance Volumetrico'!C29/'Balance Volumetrico'!$AK29)*$AM29</f>
        <v>6365</v>
      </c>
      <c r="D29" s="176">
        <f>('Balance Volumetrico'!D29/'Balance Volumetrico'!$AK29)*$AM29</f>
        <v>1353</v>
      </c>
      <c r="E29" s="176">
        <f>('Balance Volumetrico'!E29/'Balance Volumetrico'!$AK29)*$AM29</f>
        <v>3719</v>
      </c>
      <c r="F29" s="176">
        <f>('Balance Volumetrico'!F29/'Balance Volumetrico'!$AK29)*$AM29</f>
        <v>33</v>
      </c>
      <c r="G29" s="176">
        <f>('Balance Volumetrico'!G29/'Balance Volumetrico'!$AK29)*$AM29</f>
        <v>11257</v>
      </c>
      <c r="H29" s="176">
        <f>('Balance Volumetrico'!H29/'Balance Volumetrico'!$AK29)*$AM29</f>
        <v>875.99999999999989</v>
      </c>
      <c r="I29" s="176">
        <f>('Balance Volumetrico'!I29/'Balance Volumetrico'!$AK29)*$AM29</f>
        <v>7249</v>
      </c>
      <c r="J29" s="176">
        <f>('Balance Volumetrico'!J29/'Balance Volumetrico'!$AK29)*$AM29</f>
        <v>1242</v>
      </c>
      <c r="K29" s="176">
        <f>('Balance Volumetrico'!K29/'Balance Volumetrico'!$AK29)*$AM29</f>
        <v>25442</v>
      </c>
      <c r="L29" s="176">
        <f>('Balance Volumetrico'!L29/'Balance Volumetrico'!$AK29)*$AM29</f>
        <v>1791</v>
      </c>
      <c r="M29" s="176">
        <f>('Balance Volumetrico'!M29/'Balance Volumetrico'!$AK29)*$AM29</f>
        <v>379</v>
      </c>
      <c r="N29" s="176">
        <f>('Balance Volumetrico'!N29/'Balance Volumetrico'!$AK29)*$AM29</f>
        <v>10067</v>
      </c>
      <c r="O29" s="176">
        <f>('Balance Volumetrico'!O29/'Balance Volumetrico'!$AK29)*$AM29</f>
        <v>7682</v>
      </c>
      <c r="P29" s="176">
        <f>('Balance Volumetrico'!P29/'Balance Volumetrico'!$AK29)*$AM29</f>
        <v>2940.0000000000005</v>
      </c>
      <c r="Q29" s="176">
        <f>('Balance Volumetrico'!Q29/'Balance Volumetrico'!$AK29)*$AM29</f>
        <v>429</v>
      </c>
      <c r="R29" s="176">
        <f>('Balance Volumetrico'!R29/'Balance Volumetrico'!$AK29)*$AM29</f>
        <v>357.99999999999994</v>
      </c>
      <c r="S29" s="176">
        <f>('Balance Volumetrico'!S29/'Balance Volumetrico'!$AK29)*$AM29</f>
        <v>5193</v>
      </c>
      <c r="T29" s="176">
        <f>('Balance Volumetrico'!T29/'Balance Volumetrico'!$AK29)*$AM29</f>
        <v>3801</v>
      </c>
      <c r="U29" s="176">
        <f>('Balance Volumetrico'!U29/'Balance Volumetrico'!$AK29)*$AM29</f>
        <v>0</v>
      </c>
      <c r="V29" s="176">
        <f>('Balance Volumetrico'!V29/'Balance Volumetrico'!$AK29)*$AM29</f>
        <v>0</v>
      </c>
      <c r="W29" s="176">
        <f>('Balance Volumetrico'!W29/'Balance Volumetrico'!$AK29)*$AM29</f>
        <v>0</v>
      </c>
      <c r="X29" s="176">
        <f>('Balance Volumetrico'!X29/'Balance Volumetrico'!$AK29)*$AM29</f>
        <v>0</v>
      </c>
      <c r="Y29" s="176">
        <f>('Balance Volumetrico'!Y29/'Balance Volumetrico'!$AK29)*$AM29</f>
        <v>0</v>
      </c>
      <c r="Z29" s="176">
        <f>('Balance Volumetrico'!Z29/'Balance Volumetrico'!$AK29)*$AM29</f>
        <v>0</v>
      </c>
      <c r="AA29" s="176">
        <f>('Balance Volumetrico'!AA29/'Balance Volumetrico'!$AK29)*$AM29</f>
        <v>0</v>
      </c>
      <c r="AB29" s="176">
        <f>('Balance Volumetrico'!AB29/'Balance Volumetrico'!$AK29)*$AM29</f>
        <v>0</v>
      </c>
      <c r="AC29" s="176">
        <f>('Balance Volumetrico'!AC29/'Balance Volumetrico'!$AK29)*$AM29</f>
        <v>0</v>
      </c>
      <c r="AD29" s="176">
        <f>('Balance Volumetrico'!AD29/'Balance Volumetrico'!$AK29)*$AM29</f>
        <v>0</v>
      </c>
      <c r="AE29" s="176">
        <f>('Balance Volumetrico'!AE29/'Balance Volumetrico'!$AK29)*$AM29</f>
        <v>0</v>
      </c>
      <c r="AF29" s="176">
        <f>('Balance Volumetrico'!AF29/'Balance Volumetrico'!$AK29)*$AM29</f>
        <v>0</v>
      </c>
      <c r="AG29" s="176">
        <f>('Balance Volumetrico'!AG29/'Balance Volumetrico'!$AK29)*$AM29</f>
        <v>0</v>
      </c>
      <c r="AH29" s="176">
        <f>('Balance Volumetrico'!AH29/'Balance Volumetrico'!$AK29)*$AM29</f>
        <v>0</v>
      </c>
      <c r="AI29" s="176">
        <f>('Balance Volumetrico'!AI29/'Balance Volumetrico'!$AK29)*$AM29</f>
        <v>0</v>
      </c>
      <c r="AJ29" s="176">
        <f>('Balance Volumetrico'!AJ29/'Balance Volumetrico'!$AK29)*$AM29</f>
        <v>0</v>
      </c>
      <c r="AK29" s="176">
        <f t="shared" si="1"/>
        <v>90178</v>
      </c>
      <c r="AL29" s="176">
        <f t="shared" si="8"/>
        <v>75310</v>
      </c>
      <c r="AM29" s="176">
        <f>'Balance Volumetrico'!AM29</f>
        <v>90178</v>
      </c>
      <c r="AN29" s="176">
        <f t="shared" si="7"/>
        <v>75310</v>
      </c>
      <c r="AO29" s="176">
        <f>'Balance Volumetrico'!AO29</f>
        <v>0</v>
      </c>
      <c r="AP29" s="229">
        <f t="shared" si="3"/>
        <v>0</v>
      </c>
      <c r="AQ29" s="229" t="e">
        <f t="shared" si="4"/>
        <v>#DIV/0!</v>
      </c>
    </row>
    <row r="30" spans="1:43" x14ac:dyDescent="0.2">
      <c r="A30" s="294">
        <f>'Balance Volumetrico'!A30</f>
        <v>20130320</v>
      </c>
      <c r="B30" s="176">
        <f>('Balance Volumetrico'!B30/'Balance Volumetrico'!$AK30)*$AM30</f>
        <v>0</v>
      </c>
      <c r="C30" s="176">
        <f>('Balance Volumetrico'!C30/'Balance Volumetrico'!$AK30)*$AM30</f>
        <v>6063.9999999999991</v>
      </c>
      <c r="D30" s="176">
        <f>('Balance Volumetrico'!D30/'Balance Volumetrico'!$AK30)*$AM30</f>
        <v>1292</v>
      </c>
      <c r="E30" s="176">
        <f>('Balance Volumetrico'!E30/'Balance Volumetrico'!$AK30)*$AM30</f>
        <v>3575</v>
      </c>
      <c r="F30" s="176">
        <f>('Balance Volumetrico'!F30/'Balance Volumetrico'!$AK30)*$AM30</f>
        <v>921.00000000000011</v>
      </c>
      <c r="G30" s="176">
        <f>('Balance Volumetrico'!G30/'Balance Volumetrico'!$AK30)*$AM30</f>
        <v>6895</v>
      </c>
      <c r="H30" s="176">
        <f>('Balance Volumetrico'!H30/'Balance Volumetrico'!$AK30)*$AM30</f>
        <v>875</v>
      </c>
      <c r="I30" s="176">
        <f>('Balance Volumetrico'!I30/'Balance Volumetrico'!$AK30)*$AM30</f>
        <v>7686</v>
      </c>
      <c r="J30" s="176">
        <f>('Balance Volumetrico'!J30/'Balance Volumetrico'!$AK30)*$AM30</f>
        <v>1367</v>
      </c>
      <c r="K30" s="176">
        <f>('Balance Volumetrico'!K30/'Balance Volumetrico'!$AK30)*$AM30</f>
        <v>26775</v>
      </c>
      <c r="L30" s="176">
        <f>('Balance Volumetrico'!L30/'Balance Volumetrico'!$AK30)*$AM30</f>
        <v>1927</v>
      </c>
      <c r="M30" s="176">
        <f>('Balance Volumetrico'!M30/'Balance Volumetrico'!$AK30)*$AM30</f>
        <v>335</v>
      </c>
      <c r="N30" s="176">
        <f>('Balance Volumetrico'!N30/'Balance Volumetrico'!$AK30)*$AM30</f>
        <v>10297</v>
      </c>
      <c r="O30" s="176">
        <f>('Balance Volumetrico'!O30/'Balance Volumetrico'!$AK30)*$AM30</f>
        <v>9956</v>
      </c>
      <c r="P30" s="176">
        <f>('Balance Volumetrico'!P30/'Balance Volumetrico'!$AK30)*$AM30</f>
        <v>3064.0000000000005</v>
      </c>
      <c r="Q30" s="176">
        <f>('Balance Volumetrico'!Q30/'Balance Volumetrico'!$AK30)*$AM30</f>
        <v>254</v>
      </c>
      <c r="R30" s="176">
        <f>('Balance Volumetrico'!R30/'Balance Volumetrico'!$AK30)*$AM30</f>
        <v>1613</v>
      </c>
      <c r="S30" s="176">
        <f>('Balance Volumetrico'!S30/'Balance Volumetrico'!$AK30)*$AM30</f>
        <v>5225</v>
      </c>
      <c r="T30" s="176">
        <f>('Balance Volumetrico'!T30/'Balance Volumetrico'!$AK30)*$AM30</f>
        <v>5548</v>
      </c>
      <c r="U30" s="176">
        <f>('Balance Volumetrico'!U30/'Balance Volumetrico'!$AK30)*$AM30</f>
        <v>0</v>
      </c>
      <c r="V30" s="176">
        <f>('Balance Volumetrico'!V30/'Balance Volumetrico'!$AK30)*$AM30</f>
        <v>0</v>
      </c>
      <c r="W30" s="176">
        <f>('Balance Volumetrico'!W30/'Balance Volumetrico'!$AK30)*$AM30</f>
        <v>0</v>
      </c>
      <c r="X30" s="176">
        <f>('Balance Volumetrico'!X30/'Balance Volumetrico'!$AK30)*$AM30</f>
        <v>0</v>
      </c>
      <c r="Y30" s="176">
        <f>('Balance Volumetrico'!Y30/'Balance Volumetrico'!$AK30)*$AM30</f>
        <v>0</v>
      </c>
      <c r="Z30" s="176">
        <f>('Balance Volumetrico'!Z30/'Balance Volumetrico'!$AK30)*$AM30</f>
        <v>0</v>
      </c>
      <c r="AA30" s="176">
        <f>('Balance Volumetrico'!AA30/'Balance Volumetrico'!$AK30)*$AM30</f>
        <v>0</v>
      </c>
      <c r="AB30" s="176">
        <f>('Balance Volumetrico'!AB30/'Balance Volumetrico'!$AK30)*$AM30</f>
        <v>0</v>
      </c>
      <c r="AC30" s="176">
        <f>('Balance Volumetrico'!AC30/'Balance Volumetrico'!$AK30)*$AM30</f>
        <v>0</v>
      </c>
      <c r="AD30" s="176">
        <f>('Balance Volumetrico'!AD30/'Balance Volumetrico'!$AK30)*$AM30</f>
        <v>0</v>
      </c>
      <c r="AE30" s="176">
        <f>('Balance Volumetrico'!AE30/'Balance Volumetrico'!$AK30)*$AM30</f>
        <v>0</v>
      </c>
      <c r="AF30" s="176">
        <f>('Balance Volumetrico'!AF30/'Balance Volumetrico'!$AK30)*$AM30</f>
        <v>0</v>
      </c>
      <c r="AG30" s="176">
        <f>('Balance Volumetrico'!AG30/'Balance Volumetrico'!$AK30)*$AM30</f>
        <v>0</v>
      </c>
      <c r="AH30" s="176">
        <f>('Balance Volumetrico'!AH30/'Balance Volumetrico'!$AK30)*$AM30</f>
        <v>0</v>
      </c>
      <c r="AI30" s="176">
        <f>('Balance Volumetrico'!AI30/'Balance Volumetrico'!$AK30)*$AM30</f>
        <v>0</v>
      </c>
      <c r="AJ30" s="176">
        <f>('Balance Volumetrico'!AJ30/'Balance Volumetrico'!$AK30)*$AM30</f>
        <v>0</v>
      </c>
      <c r="AK30" s="176">
        <f t="shared" si="1"/>
        <v>93669</v>
      </c>
      <c r="AL30" s="176">
        <f t="shared" si="8"/>
        <v>75310</v>
      </c>
      <c r="AM30" s="176">
        <f>'Balance Volumetrico'!AM30</f>
        <v>93669</v>
      </c>
      <c r="AN30" s="176">
        <f t="shared" si="7"/>
        <v>75310</v>
      </c>
      <c r="AO30" s="176">
        <f>'Balance Volumetrico'!AO30</f>
        <v>0</v>
      </c>
      <c r="AP30" s="229">
        <f t="shared" si="3"/>
        <v>0</v>
      </c>
      <c r="AQ30" s="229" t="e">
        <f t="shared" si="4"/>
        <v>#DIV/0!</v>
      </c>
    </row>
    <row r="31" spans="1:43" x14ac:dyDescent="0.2">
      <c r="A31" s="294">
        <f>'Balance Volumetrico'!A31</f>
        <v>20130321</v>
      </c>
      <c r="B31" s="176">
        <f>('Balance Volumetrico'!B31/'Balance Volumetrico'!$AK31)*$AM31</f>
        <v>69</v>
      </c>
      <c r="C31" s="176">
        <f>('Balance Volumetrico'!C31/'Balance Volumetrico'!$AK31)*$AM31</f>
        <v>5461</v>
      </c>
      <c r="D31" s="176">
        <f>('Balance Volumetrico'!D31/'Balance Volumetrico'!$AK31)*$AM31</f>
        <v>1260</v>
      </c>
      <c r="E31" s="176">
        <f>('Balance Volumetrico'!E31/'Balance Volumetrico'!$AK31)*$AM31</f>
        <v>4314</v>
      </c>
      <c r="F31" s="176">
        <f>('Balance Volumetrico'!F31/'Balance Volumetrico'!$AK31)*$AM31</f>
        <v>4728</v>
      </c>
      <c r="G31" s="176">
        <f>('Balance Volumetrico'!G31/'Balance Volumetrico'!$AK31)*$AM31</f>
        <v>10222</v>
      </c>
      <c r="H31" s="176">
        <f>('Balance Volumetrico'!H31/'Balance Volumetrico'!$AK31)*$AM31</f>
        <v>775</v>
      </c>
      <c r="I31" s="176">
        <f>('Balance Volumetrico'!I31/'Balance Volumetrico'!$AK31)*$AM31</f>
        <v>7434</v>
      </c>
      <c r="J31" s="176">
        <f>('Balance Volumetrico'!J31/'Balance Volumetrico'!$AK31)*$AM31</f>
        <v>1667</v>
      </c>
      <c r="K31" s="176">
        <f>('Balance Volumetrico'!K31/'Balance Volumetrico'!$AK31)*$AM31</f>
        <v>24783</v>
      </c>
      <c r="L31" s="176">
        <f>('Balance Volumetrico'!L31/'Balance Volumetrico'!$AK31)*$AM31</f>
        <v>1757</v>
      </c>
      <c r="M31" s="176">
        <f>('Balance Volumetrico'!M31/'Balance Volumetrico'!$AK31)*$AM31</f>
        <v>391.00000000000006</v>
      </c>
      <c r="N31" s="176">
        <f>('Balance Volumetrico'!N31/'Balance Volumetrico'!$AK31)*$AM31</f>
        <v>10097</v>
      </c>
      <c r="O31" s="176">
        <f>('Balance Volumetrico'!O31/'Balance Volumetrico'!$AK31)*$AM31</f>
        <v>10404</v>
      </c>
      <c r="P31" s="176">
        <f>('Balance Volumetrico'!P31/'Balance Volumetrico'!$AK31)*$AM31</f>
        <v>2958</v>
      </c>
      <c r="Q31" s="176">
        <f>('Balance Volumetrico'!Q31/'Balance Volumetrico'!$AK31)*$AM31</f>
        <v>430</v>
      </c>
      <c r="R31" s="176">
        <f>('Balance Volumetrico'!R31/'Balance Volumetrico'!$AK31)*$AM31</f>
        <v>1412</v>
      </c>
      <c r="S31" s="176">
        <f>('Balance Volumetrico'!S31/'Balance Volumetrico'!$AK31)*$AM31</f>
        <v>5433</v>
      </c>
      <c r="T31" s="176">
        <f>('Balance Volumetrico'!T31/'Balance Volumetrico'!$AK31)*$AM31</f>
        <v>5273</v>
      </c>
      <c r="U31" s="176">
        <f>('Balance Volumetrico'!U31/'Balance Volumetrico'!$AK31)*$AM31</f>
        <v>0</v>
      </c>
      <c r="V31" s="176">
        <f>('Balance Volumetrico'!V31/'Balance Volumetrico'!$AK31)*$AM31</f>
        <v>0</v>
      </c>
      <c r="W31" s="176">
        <f>('Balance Volumetrico'!W31/'Balance Volumetrico'!$AK31)*$AM31</f>
        <v>0</v>
      </c>
      <c r="X31" s="176">
        <f>('Balance Volumetrico'!X31/'Balance Volumetrico'!$AK31)*$AM31</f>
        <v>0</v>
      </c>
      <c r="Y31" s="176">
        <f>('Balance Volumetrico'!Y31/'Balance Volumetrico'!$AK31)*$AM31</f>
        <v>0</v>
      </c>
      <c r="Z31" s="176">
        <f>('Balance Volumetrico'!Z31/'Balance Volumetrico'!$AK31)*$AM31</f>
        <v>0</v>
      </c>
      <c r="AA31" s="176">
        <f>('Balance Volumetrico'!AA31/'Balance Volumetrico'!$AK31)*$AM31</f>
        <v>0</v>
      </c>
      <c r="AB31" s="176">
        <f>('Balance Volumetrico'!AB31/'Balance Volumetrico'!$AK31)*$AM31</f>
        <v>0</v>
      </c>
      <c r="AC31" s="176">
        <f>('Balance Volumetrico'!AC31/'Balance Volumetrico'!$AK31)*$AM31</f>
        <v>0</v>
      </c>
      <c r="AD31" s="176">
        <f>('Balance Volumetrico'!AD31/'Balance Volumetrico'!$AK31)*$AM31</f>
        <v>0</v>
      </c>
      <c r="AE31" s="176">
        <f>('Balance Volumetrico'!AE31/'Balance Volumetrico'!$AK31)*$AM31</f>
        <v>0</v>
      </c>
      <c r="AF31" s="176">
        <f>('Balance Volumetrico'!AF31/'Balance Volumetrico'!$AK31)*$AM31</f>
        <v>0</v>
      </c>
      <c r="AG31" s="176">
        <f>('Balance Volumetrico'!AG31/'Balance Volumetrico'!$AK31)*$AM31</f>
        <v>0</v>
      </c>
      <c r="AH31" s="176">
        <f>('Balance Volumetrico'!AH31/'Balance Volumetrico'!$AK31)*$AM31</f>
        <v>0</v>
      </c>
      <c r="AI31" s="176">
        <f>('Balance Volumetrico'!AI31/'Balance Volumetrico'!$AK31)*$AM31</f>
        <v>0</v>
      </c>
      <c r="AJ31" s="176">
        <f>('Balance Volumetrico'!AJ31/'Balance Volumetrico'!$AK31)*$AM31</f>
        <v>0</v>
      </c>
      <c r="AK31" s="176">
        <f t="shared" si="1"/>
        <v>98868</v>
      </c>
      <c r="AL31" s="176">
        <f t="shared" si="8"/>
        <v>75310</v>
      </c>
      <c r="AM31" s="176">
        <f>'Balance Volumetrico'!AM31</f>
        <v>98868</v>
      </c>
      <c r="AN31" s="176">
        <f t="shared" si="7"/>
        <v>75310</v>
      </c>
      <c r="AO31" s="176">
        <f>'Balance Volumetrico'!AO31</f>
        <v>0</v>
      </c>
      <c r="AP31" s="229">
        <f t="shared" si="3"/>
        <v>0</v>
      </c>
      <c r="AQ31" s="229" t="e">
        <f t="shared" si="4"/>
        <v>#DIV/0!</v>
      </c>
    </row>
    <row r="32" spans="1:43" x14ac:dyDescent="0.2">
      <c r="A32" s="294">
        <f>'Balance Volumetrico'!A32</f>
        <v>20130322</v>
      </c>
      <c r="B32" s="176">
        <f>('Balance Volumetrico'!B32/'Balance Volumetrico'!$AK32)*$AM32</f>
        <v>52.999999999999993</v>
      </c>
      <c r="C32" s="176">
        <f>('Balance Volumetrico'!C32/'Balance Volumetrico'!$AK32)*$AM32</f>
        <v>4364</v>
      </c>
      <c r="D32" s="176">
        <f>('Balance Volumetrico'!D32/'Balance Volumetrico'!$AK32)*$AM32</f>
        <v>791</v>
      </c>
      <c r="E32" s="176">
        <f>('Balance Volumetrico'!E32/'Balance Volumetrico'!$AK32)*$AM32</f>
        <v>3191</v>
      </c>
      <c r="F32" s="176">
        <f>('Balance Volumetrico'!F32/'Balance Volumetrico'!$AK32)*$AM32</f>
        <v>4439</v>
      </c>
      <c r="G32" s="176">
        <f>('Balance Volumetrico'!G32/'Balance Volumetrico'!$AK32)*$AM32</f>
        <v>9577</v>
      </c>
      <c r="H32" s="176">
        <f>('Balance Volumetrico'!H32/'Balance Volumetrico'!$AK32)*$AM32</f>
        <v>951.00000000000011</v>
      </c>
      <c r="I32" s="176">
        <f>('Balance Volumetrico'!I32/'Balance Volumetrico'!$AK32)*$AM32</f>
        <v>7769.0000000000009</v>
      </c>
      <c r="J32" s="176">
        <f>('Balance Volumetrico'!J32/'Balance Volumetrico'!$AK32)*$AM32</f>
        <v>775</v>
      </c>
      <c r="K32" s="176">
        <f>('Balance Volumetrico'!K32/'Balance Volumetrico'!$AK32)*$AM32</f>
        <v>22154</v>
      </c>
      <c r="L32" s="176">
        <f>('Balance Volumetrico'!L32/'Balance Volumetrico'!$AK32)*$AM32</f>
        <v>1870.9999999999998</v>
      </c>
      <c r="M32" s="176">
        <f>('Balance Volumetrico'!M32/'Balance Volumetrico'!$AK32)*$AM32</f>
        <v>455.99999999999994</v>
      </c>
      <c r="N32" s="176">
        <f>('Balance Volumetrico'!N32/'Balance Volumetrico'!$AK32)*$AM32</f>
        <v>10017</v>
      </c>
      <c r="O32" s="176">
        <f>('Balance Volumetrico'!O32/'Balance Volumetrico'!$AK32)*$AM32</f>
        <v>9583</v>
      </c>
      <c r="P32" s="176">
        <f>('Balance Volumetrico'!P32/'Balance Volumetrico'!$AK32)*$AM32</f>
        <v>3149</v>
      </c>
      <c r="Q32" s="176">
        <f>('Balance Volumetrico'!Q32/'Balance Volumetrico'!$AK32)*$AM32</f>
        <v>177</v>
      </c>
      <c r="R32" s="176">
        <f>('Balance Volumetrico'!R32/'Balance Volumetrico'!$AK32)*$AM32</f>
        <v>1616.0000000000002</v>
      </c>
      <c r="S32" s="176">
        <f>('Balance Volumetrico'!S32/'Balance Volumetrico'!$AK32)*$AM32</f>
        <v>5625</v>
      </c>
      <c r="T32" s="176">
        <f>('Balance Volumetrico'!T32/'Balance Volumetrico'!$AK32)*$AM32</f>
        <v>5699</v>
      </c>
      <c r="U32" s="176">
        <f>('Balance Volumetrico'!U32/'Balance Volumetrico'!$AK32)*$AM32</f>
        <v>0</v>
      </c>
      <c r="V32" s="176">
        <f>('Balance Volumetrico'!V32/'Balance Volumetrico'!$AK32)*$AM32</f>
        <v>0</v>
      </c>
      <c r="W32" s="176">
        <f>('Balance Volumetrico'!W32/'Balance Volumetrico'!$AK32)*$AM32</f>
        <v>0</v>
      </c>
      <c r="X32" s="176">
        <f>('Balance Volumetrico'!X32/'Balance Volumetrico'!$AK32)*$AM32</f>
        <v>0</v>
      </c>
      <c r="Y32" s="176">
        <f>('Balance Volumetrico'!Y32/'Balance Volumetrico'!$AK32)*$AM32</f>
        <v>0</v>
      </c>
      <c r="Z32" s="176">
        <f>('Balance Volumetrico'!Z32/'Balance Volumetrico'!$AK32)*$AM32</f>
        <v>0</v>
      </c>
      <c r="AA32" s="176">
        <f>('Balance Volumetrico'!AA32/'Balance Volumetrico'!$AK32)*$AM32</f>
        <v>0</v>
      </c>
      <c r="AB32" s="176">
        <f>('Balance Volumetrico'!AB32/'Balance Volumetrico'!$AK32)*$AM32</f>
        <v>0</v>
      </c>
      <c r="AC32" s="176">
        <f>('Balance Volumetrico'!AC32/'Balance Volumetrico'!$AK32)*$AM32</f>
        <v>0</v>
      </c>
      <c r="AD32" s="176">
        <f>('Balance Volumetrico'!AD32/'Balance Volumetrico'!$AK32)*$AM32</f>
        <v>0</v>
      </c>
      <c r="AE32" s="176">
        <f>('Balance Volumetrico'!AE32/'Balance Volumetrico'!$AK32)*$AM32</f>
        <v>0</v>
      </c>
      <c r="AF32" s="176">
        <f>('Balance Volumetrico'!AF32/'Balance Volumetrico'!$AK32)*$AM32</f>
        <v>0</v>
      </c>
      <c r="AG32" s="176">
        <f>('Balance Volumetrico'!AG32/'Balance Volumetrico'!$AK32)*$AM32</f>
        <v>0</v>
      </c>
      <c r="AH32" s="176">
        <f>('Balance Volumetrico'!AH32/'Balance Volumetrico'!$AK32)*$AM32</f>
        <v>0</v>
      </c>
      <c r="AI32" s="176">
        <f>('Balance Volumetrico'!AI32/'Balance Volumetrico'!$AK32)*$AM32</f>
        <v>0</v>
      </c>
      <c r="AJ32" s="176">
        <f>('Balance Volumetrico'!AJ32/'Balance Volumetrico'!$AK32)*$AM32</f>
        <v>0</v>
      </c>
      <c r="AK32" s="176">
        <f t="shared" si="1"/>
        <v>92257</v>
      </c>
      <c r="AL32" s="176">
        <f t="shared" ref="AL32:AL38" si="9">AVERAGE($AK$32:$AK$38)</f>
        <v>69725.428571428565</v>
      </c>
      <c r="AM32" s="176">
        <f>'Balance Volumetrico'!AM32</f>
        <v>92257</v>
      </c>
      <c r="AN32" s="176">
        <f t="shared" ref="AN32:AN37" si="10">AVERAGE($AM$32:$AM$38)</f>
        <v>69725.428571428565</v>
      </c>
      <c r="AO32" s="176">
        <f>'Balance Volumetrico'!AO32</f>
        <v>0</v>
      </c>
      <c r="AP32" s="229">
        <f t="shared" si="3"/>
        <v>0</v>
      </c>
      <c r="AQ32" s="229" t="e">
        <f t="shared" si="4"/>
        <v>#DIV/0!</v>
      </c>
    </row>
    <row r="33" spans="1:43" x14ac:dyDescent="0.2">
      <c r="A33" s="294">
        <f>'Balance Volumetrico'!A33</f>
        <v>20130323</v>
      </c>
      <c r="B33" s="176">
        <f>('Balance Volumetrico'!B33/'Balance Volumetrico'!$AK33)*$AM33</f>
        <v>0</v>
      </c>
      <c r="C33" s="176">
        <f>('Balance Volumetrico'!C33/'Balance Volumetrico'!$AK33)*$AM33</f>
        <v>4434</v>
      </c>
      <c r="D33" s="176">
        <f>('Balance Volumetrico'!D33/'Balance Volumetrico'!$AK33)*$AM33</f>
        <v>68</v>
      </c>
      <c r="E33" s="176">
        <f>('Balance Volumetrico'!E33/'Balance Volumetrico'!$AK33)*$AM33</f>
        <v>897</v>
      </c>
      <c r="F33" s="176">
        <f>('Balance Volumetrico'!F33/'Balance Volumetrico'!$AK33)*$AM33</f>
        <v>3610</v>
      </c>
      <c r="G33" s="176">
        <f>('Balance Volumetrico'!G33/'Balance Volumetrico'!$AK33)*$AM33</f>
        <v>9383</v>
      </c>
      <c r="H33" s="176">
        <f>('Balance Volumetrico'!H33/'Balance Volumetrico'!$AK33)*$AM33</f>
        <v>1047</v>
      </c>
      <c r="I33" s="176">
        <f>('Balance Volumetrico'!I33/'Balance Volumetrico'!$AK33)*$AM33</f>
        <v>7657.9999999999991</v>
      </c>
      <c r="J33" s="176">
        <f>('Balance Volumetrico'!J33/'Balance Volumetrico'!$AK33)*$AM33</f>
        <v>154</v>
      </c>
      <c r="K33" s="176">
        <f>('Balance Volumetrico'!K33/'Balance Volumetrico'!$AK33)*$AM33</f>
        <v>7776.0000000000009</v>
      </c>
      <c r="L33" s="176">
        <f>('Balance Volumetrico'!L33/'Balance Volumetrico'!$AK33)*$AM33</f>
        <v>520</v>
      </c>
      <c r="M33" s="176">
        <f>('Balance Volumetrico'!M33/'Balance Volumetrico'!$AK33)*$AM33</f>
        <v>186</v>
      </c>
      <c r="N33" s="176">
        <f>('Balance Volumetrico'!N33/'Balance Volumetrico'!$AK33)*$AM33</f>
        <v>9646</v>
      </c>
      <c r="O33" s="176">
        <f>('Balance Volumetrico'!O33/'Balance Volumetrico'!$AK33)*$AM33</f>
        <v>6808</v>
      </c>
      <c r="P33" s="176">
        <f>('Balance Volumetrico'!P33/'Balance Volumetrico'!$AK33)*$AM33</f>
        <v>1329</v>
      </c>
      <c r="Q33" s="176">
        <f>('Balance Volumetrico'!Q33/'Balance Volumetrico'!$AK33)*$AM33</f>
        <v>109</v>
      </c>
      <c r="R33" s="176">
        <f>('Balance Volumetrico'!R33/'Balance Volumetrico'!$AK33)*$AM33</f>
        <v>537</v>
      </c>
      <c r="S33" s="176">
        <f>('Balance Volumetrico'!S33/'Balance Volumetrico'!$AK33)*$AM33</f>
        <v>4681</v>
      </c>
      <c r="T33" s="176">
        <f>('Balance Volumetrico'!T33/'Balance Volumetrico'!$AK33)*$AM33</f>
        <v>509</v>
      </c>
      <c r="U33" s="176">
        <f>('Balance Volumetrico'!U33/'Balance Volumetrico'!$AK33)*$AM33</f>
        <v>0</v>
      </c>
      <c r="V33" s="176">
        <f>('Balance Volumetrico'!V33/'Balance Volumetrico'!$AK33)*$AM33</f>
        <v>0</v>
      </c>
      <c r="W33" s="176">
        <f>('Balance Volumetrico'!W33/'Balance Volumetrico'!$AK33)*$AM33</f>
        <v>0</v>
      </c>
      <c r="X33" s="176">
        <f>('Balance Volumetrico'!X33/'Balance Volumetrico'!$AK33)*$AM33</f>
        <v>0</v>
      </c>
      <c r="Y33" s="176">
        <f>('Balance Volumetrico'!Y33/'Balance Volumetrico'!$AK33)*$AM33</f>
        <v>0</v>
      </c>
      <c r="Z33" s="176">
        <f>('Balance Volumetrico'!Z33/'Balance Volumetrico'!$AK33)*$AM33</f>
        <v>0</v>
      </c>
      <c r="AA33" s="176">
        <f>('Balance Volumetrico'!AA33/'Balance Volumetrico'!$AK33)*$AM33</f>
        <v>0</v>
      </c>
      <c r="AB33" s="176">
        <f>('Balance Volumetrico'!AB33/'Balance Volumetrico'!$AK33)*$AM33</f>
        <v>0</v>
      </c>
      <c r="AC33" s="176">
        <f>('Balance Volumetrico'!AC33/'Balance Volumetrico'!$AK33)*$AM33</f>
        <v>0</v>
      </c>
      <c r="AD33" s="176">
        <f>('Balance Volumetrico'!AD33/'Balance Volumetrico'!$AK33)*$AM33</f>
        <v>0</v>
      </c>
      <c r="AE33" s="176">
        <f>('Balance Volumetrico'!AE33/'Balance Volumetrico'!$AK33)*$AM33</f>
        <v>0</v>
      </c>
      <c r="AF33" s="176">
        <f>('Balance Volumetrico'!AF33/'Balance Volumetrico'!$AK33)*$AM33</f>
        <v>0</v>
      </c>
      <c r="AG33" s="176">
        <f>('Balance Volumetrico'!AG33/'Balance Volumetrico'!$AK33)*$AM33</f>
        <v>0</v>
      </c>
      <c r="AH33" s="176">
        <f>('Balance Volumetrico'!AH33/'Balance Volumetrico'!$AK33)*$AM33</f>
        <v>0</v>
      </c>
      <c r="AI33" s="176">
        <f>('Balance Volumetrico'!AI33/'Balance Volumetrico'!$AK33)*$AM33</f>
        <v>0</v>
      </c>
      <c r="AJ33" s="176">
        <f>('Balance Volumetrico'!AJ33/'Balance Volumetrico'!$AK33)*$AM33</f>
        <v>0</v>
      </c>
      <c r="AK33" s="176">
        <f t="shared" si="1"/>
        <v>59352</v>
      </c>
      <c r="AL33" s="176">
        <f t="shared" si="9"/>
        <v>69725.428571428565</v>
      </c>
      <c r="AM33" s="176">
        <f>'Balance Volumetrico'!AM33</f>
        <v>59352</v>
      </c>
      <c r="AN33" s="176">
        <f t="shared" si="10"/>
        <v>69725.428571428565</v>
      </c>
      <c r="AO33" s="176">
        <f>'Balance Volumetrico'!AO33</f>
        <v>0</v>
      </c>
      <c r="AP33" s="229">
        <f t="shared" si="3"/>
        <v>0</v>
      </c>
      <c r="AQ33" s="229" t="e">
        <f t="shared" si="4"/>
        <v>#DIV/0!</v>
      </c>
    </row>
    <row r="34" spans="1:43" x14ac:dyDescent="0.2">
      <c r="A34" s="294">
        <f>'Balance Volumetrico'!A34</f>
        <v>20130324</v>
      </c>
      <c r="B34" s="176">
        <f>('Balance Volumetrico'!B34/'Balance Volumetrico'!$AK34)*$AM34</f>
        <v>0</v>
      </c>
      <c r="C34" s="176">
        <f>('Balance Volumetrico'!C34/'Balance Volumetrico'!$AK34)*$AM34</f>
        <v>2654</v>
      </c>
      <c r="D34" s="176">
        <f>('Balance Volumetrico'!D34/'Balance Volumetrico'!$AK34)*$AM34</f>
        <v>775</v>
      </c>
      <c r="E34" s="176">
        <f>('Balance Volumetrico'!E34/'Balance Volumetrico'!$AK34)*$AM34</f>
        <v>764</v>
      </c>
      <c r="F34" s="176">
        <f>('Balance Volumetrico'!F34/'Balance Volumetrico'!$AK34)*$AM34</f>
        <v>2</v>
      </c>
      <c r="G34" s="176">
        <f>('Balance Volumetrico'!G34/'Balance Volumetrico'!$AK34)*$AM34</f>
        <v>8332</v>
      </c>
      <c r="H34" s="176">
        <f>('Balance Volumetrico'!H34/'Balance Volumetrico'!$AK34)*$AM34</f>
        <v>1029</v>
      </c>
      <c r="I34" s="176">
        <f>('Balance Volumetrico'!I34/'Balance Volumetrico'!$AK34)*$AM34</f>
        <v>7916.0000000000009</v>
      </c>
      <c r="J34" s="176">
        <f>('Balance Volumetrico'!J34/'Balance Volumetrico'!$AK34)*$AM34</f>
        <v>0</v>
      </c>
      <c r="K34" s="176">
        <f>('Balance Volumetrico'!K34/'Balance Volumetrico'!$AK34)*$AM34</f>
        <v>4904</v>
      </c>
      <c r="L34" s="176">
        <f>('Balance Volumetrico'!L34/'Balance Volumetrico'!$AK34)*$AM34</f>
        <v>195</v>
      </c>
      <c r="M34" s="176">
        <f>('Balance Volumetrico'!M34/'Balance Volumetrico'!$AK34)*$AM34</f>
        <v>346</v>
      </c>
      <c r="N34" s="176">
        <f>('Balance Volumetrico'!N34/'Balance Volumetrico'!$AK34)*$AM34</f>
        <v>10096</v>
      </c>
      <c r="O34" s="176">
        <f>('Balance Volumetrico'!O34/'Balance Volumetrico'!$AK34)*$AM34</f>
        <v>8045</v>
      </c>
      <c r="P34" s="176">
        <f>('Balance Volumetrico'!P34/'Balance Volumetrico'!$AK34)*$AM34</f>
        <v>3070</v>
      </c>
      <c r="Q34" s="176">
        <f>('Balance Volumetrico'!Q34/'Balance Volumetrico'!$AK34)*$AM34</f>
        <v>64</v>
      </c>
      <c r="R34" s="176">
        <f>('Balance Volumetrico'!R34/'Balance Volumetrico'!$AK34)*$AM34</f>
        <v>357</v>
      </c>
      <c r="S34" s="176">
        <f>('Balance Volumetrico'!S34/'Balance Volumetrico'!$AK34)*$AM34</f>
        <v>5612</v>
      </c>
      <c r="T34" s="176">
        <f>('Balance Volumetrico'!T34/'Balance Volumetrico'!$AK34)*$AM34</f>
        <v>166</v>
      </c>
      <c r="U34" s="176">
        <f>('Balance Volumetrico'!U34/'Balance Volumetrico'!$AK34)*$AM34</f>
        <v>0</v>
      </c>
      <c r="V34" s="176">
        <f>('Balance Volumetrico'!V34/'Balance Volumetrico'!$AK34)*$AM34</f>
        <v>0</v>
      </c>
      <c r="W34" s="176">
        <f>('Balance Volumetrico'!W34/'Balance Volumetrico'!$AK34)*$AM34</f>
        <v>0</v>
      </c>
      <c r="X34" s="176">
        <f>('Balance Volumetrico'!X34/'Balance Volumetrico'!$AK34)*$AM34</f>
        <v>0</v>
      </c>
      <c r="Y34" s="176">
        <f>('Balance Volumetrico'!Y34/'Balance Volumetrico'!$AK34)*$AM34</f>
        <v>0</v>
      </c>
      <c r="Z34" s="176">
        <f>('Balance Volumetrico'!Z34/'Balance Volumetrico'!$AK34)*$AM34</f>
        <v>0</v>
      </c>
      <c r="AA34" s="176">
        <f>('Balance Volumetrico'!AA34/'Balance Volumetrico'!$AK34)*$AM34</f>
        <v>0</v>
      </c>
      <c r="AB34" s="176">
        <f>('Balance Volumetrico'!AB34/'Balance Volumetrico'!$AK34)*$AM34</f>
        <v>0</v>
      </c>
      <c r="AC34" s="176">
        <f>('Balance Volumetrico'!AC34/'Balance Volumetrico'!$AK34)*$AM34</f>
        <v>0</v>
      </c>
      <c r="AD34" s="176">
        <f>('Balance Volumetrico'!AD34/'Balance Volumetrico'!$AK34)*$AM34</f>
        <v>0</v>
      </c>
      <c r="AE34" s="176">
        <f>('Balance Volumetrico'!AE34/'Balance Volumetrico'!$AK34)*$AM34</f>
        <v>0</v>
      </c>
      <c r="AF34" s="176">
        <f>('Balance Volumetrico'!AF34/'Balance Volumetrico'!$AK34)*$AM34</f>
        <v>0</v>
      </c>
      <c r="AG34" s="176">
        <f>('Balance Volumetrico'!AG34/'Balance Volumetrico'!$AK34)*$AM34</f>
        <v>0</v>
      </c>
      <c r="AH34" s="176">
        <f>('Balance Volumetrico'!AH34/'Balance Volumetrico'!$AK34)*$AM34</f>
        <v>0</v>
      </c>
      <c r="AI34" s="176">
        <f>('Balance Volumetrico'!AI34/'Balance Volumetrico'!$AK34)*$AM34</f>
        <v>0</v>
      </c>
      <c r="AJ34" s="176">
        <f>('Balance Volumetrico'!AJ34/'Balance Volumetrico'!$AK34)*$AM34</f>
        <v>0</v>
      </c>
      <c r="AK34" s="176">
        <f t="shared" si="1"/>
        <v>54327</v>
      </c>
      <c r="AL34" s="176">
        <f t="shared" si="9"/>
        <v>69725.428571428565</v>
      </c>
      <c r="AM34" s="176">
        <f>'Balance Volumetrico'!AM34</f>
        <v>54327</v>
      </c>
      <c r="AN34" s="176">
        <f t="shared" si="10"/>
        <v>69725.428571428565</v>
      </c>
      <c r="AO34" s="176">
        <f>'Balance Volumetrico'!AO34</f>
        <v>0</v>
      </c>
      <c r="AP34" s="229">
        <f t="shared" si="3"/>
        <v>0</v>
      </c>
      <c r="AQ34" s="229" t="e">
        <f t="shared" si="4"/>
        <v>#DIV/0!</v>
      </c>
    </row>
    <row r="35" spans="1:43" x14ac:dyDescent="0.2">
      <c r="A35" s="294">
        <f>'Balance Volumetrico'!A35</f>
        <v>20130325</v>
      </c>
      <c r="B35" s="176">
        <f>('Balance Volumetrico'!B35/'Balance Volumetrico'!$AK35)*$AM35</f>
        <v>0</v>
      </c>
      <c r="C35" s="176">
        <f>('Balance Volumetrico'!C35/'Balance Volumetrico'!$AK35)*$AM35</f>
        <v>1490.0000000000002</v>
      </c>
      <c r="D35" s="176">
        <f>('Balance Volumetrico'!D35/'Balance Volumetrico'!$AK35)*$AM35</f>
        <v>1548.9999999999998</v>
      </c>
      <c r="E35" s="176">
        <f>('Balance Volumetrico'!E35/'Balance Volumetrico'!$AK35)*$AM35</f>
        <v>3053</v>
      </c>
      <c r="F35" s="176">
        <f>('Balance Volumetrico'!F35/'Balance Volumetrico'!$AK35)*$AM35</f>
        <v>26</v>
      </c>
      <c r="G35" s="176">
        <f>('Balance Volumetrico'!G35/'Balance Volumetrico'!$AK35)*$AM35</f>
        <v>11011</v>
      </c>
      <c r="H35" s="176">
        <f>('Balance Volumetrico'!H35/'Balance Volumetrico'!$AK35)*$AM35</f>
        <v>1053</v>
      </c>
      <c r="I35" s="176">
        <f>('Balance Volumetrico'!I35/'Balance Volumetrico'!$AK35)*$AM35</f>
        <v>7924.9999999999991</v>
      </c>
      <c r="J35" s="176">
        <f>('Balance Volumetrico'!J35/'Balance Volumetrico'!$AK35)*$AM35</f>
        <v>181</v>
      </c>
      <c r="K35" s="176">
        <f>('Balance Volumetrico'!K35/'Balance Volumetrico'!$AK35)*$AM35</f>
        <v>27160</v>
      </c>
      <c r="L35" s="176">
        <f>('Balance Volumetrico'!L35/'Balance Volumetrico'!$AK35)*$AM35</f>
        <v>1830</v>
      </c>
      <c r="M35" s="176">
        <f>('Balance Volumetrico'!M35/'Balance Volumetrico'!$AK35)*$AM35</f>
        <v>331</v>
      </c>
      <c r="N35" s="176">
        <f>('Balance Volumetrico'!N35/'Balance Volumetrico'!$AK35)*$AM35</f>
        <v>10643</v>
      </c>
      <c r="O35" s="176">
        <f>('Balance Volumetrico'!O35/'Balance Volumetrico'!$AK35)*$AM35</f>
        <v>11393</v>
      </c>
      <c r="P35" s="176">
        <f>('Balance Volumetrico'!P35/'Balance Volumetrico'!$AK35)*$AM35</f>
        <v>3020.9999999999995</v>
      </c>
      <c r="Q35" s="176">
        <f>('Balance Volumetrico'!Q35/'Balance Volumetrico'!$AK35)*$AM35</f>
        <v>279</v>
      </c>
      <c r="R35" s="176">
        <f>('Balance Volumetrico'!R35/'Balance Volumetrico'!$AK35)*$AM35</f>
        <v>1611.0000000000002</v>
      </c>
      <c r="S35" s="176">
        <f>('Balance Volumetrico'!S35/'Balance Volumetrico'!$AK35)*$AM35</f>
        <v>4608</v>
      </c>
      <c r="T35" s="176">
        <f>('Balance Volumetrico'!T35/'Balance Volumetrico'!$AK35)*$AM35</f>
        <v>6136</v>
      </c>
      <c r="U35" s="176">
        <f>('Balance Volumetrico'!U35/'Balance Volumetrico'!$AK35)*$AM35</f>
        <v>0</v>
      </c>
      <c r="V35" s="176">
        <f>('Balance Volumetrico'!V35/'Balance Volumetrico'!$AK35)*$AM35</f>
        <v>0</v>
      </c>
      <c r="W35" s="176">
        <f>('Balance Volumetrico'!W35/'Balance Volumetrico'!$AK35)*$AM35</f>
        <v>0</v>
      </c>
      <c r="X35" s="176">
        <f>('Balance Volumetrico'!X35/'Balance Volumetrico'!$AK35)*$AM35</f>
        <v>0</v>
      </c>
      <c r="Y35" s="176">
        <f>('Balance Volumetrico'!Y35/'Balance Volumetrico'!$AK35)*$AM35</f>
        <v>0</v>
      </c>
      <c r="Z35" s="176">
        <f>('Balance Volumetrico'!Z35/'Balance Volumetrico'!$AK35)*$AM35</f>
        <v>0</v>
      </c>
      <c r="AA35" s="176">
        <f>('Balance Volumetrico'!AA35/'Balance Volumetrico'!$AK35)*$AM35</f>
        <v>0</v>
      </c>
      <c r="AB35" s="176">
        <f>('Balance Volumetrico'!AB35/'Balance Volumetrico'!$AK35)*$AM35</f>
        <v>0</v>
      </c>
      <c r="AC35" s="176">
        <f>('Balance Volumetrico'!AC35/'Balance Volumetrico'!$AK35)*$AM35</f>
        <v>0</v>
      </c>
      <c r="AD35" s="176">
        <f>('Balance Volumetrico'!AD35/'Balance Volumetrico'!$AK35)*$AM35</f>
        <v>0</v>
      </c>
      <c r="AE35" s="176">
        <f>('Balance Volumetrico'!AE35/'Balance Volumetrico'!$AK35)*$AM35</f>
        <v>0</v>
      </c>
      <c r="AF35" s="176">
        <f>('Balance Volumetrico'!AF35/'Balance Volumetrico'!$AK35)*$AM35</f>
        <v>0</v>
      </c>
      <c r="AG35" s="176">
        <f>('Balance Volumetrico'!AG35/'Balance Volumetrico'!$AK35)*$AM35</f>
        <v>0</v>
      </c>
      <c r="AH35" s="176">
        <f>('Balance Volumetrico'!AH35/'Balance Volumetrico'!$AK35)*$AM35</f>
        <v>0</v>
      </c>
      <c r="AI35" s="176">
        <f>('Balance Volumetrico'!AI35/'Balance Volumetrico'!$AK35)*$AM35</f>
        <v>0</v>
      </c>
      <c r="AJ35" s="176">
        <f>('Balance Volumetrico'!AJ35/'Balance Volumetrico'!$AK35)*$AM35</f>
        <v>0</v>
      </c>
      <c r="AK35" s="176">
        <f t="shared" si="1"/>
        <v>93300</v>
      </c>
      <c r="AL35" s="176">
        <f t="shared" si="9"/>
        <v>69725.428571428565</v>
      </c>
      <c r="AM35" s="176">
        <f>'Balance Volumetrico'!AM35</f>
        <v>93300</v>
      </c>
      <c r="AN35" s="176">
        <f t="shared" si="10"/>
        <v>69725.428571428565</v>
      </c>
      <c r="AO35" s="176">
        <f>'Balance Volumetrico'!AO35</f>
        <v>0</v>
      </c>
      <c r="AP35" s="229">
        <f t="shared" si="3"/>
        <v>0</v>
      </c>
      <c r="AQ35" s="229" t="e">
        <f t="shared" si="4"/>
        <v>#DIV/0!</v>
      </c>
    </row>
    <row r="36" spans="1:43" x14ac:dyDescent="0.2">
      <c r="A36" s="294">
        <f>'Balance Volumetrico'!A36</f>
        <v>20130326</v>
      </c>
      <c r="B36" s="176">
        <f>('Balance Volumetrico'!B36/'Balance Volumetrico'!$AK36)*$AM36</f>
        <v>1</v>
      </c>
      <c r="C36" s="176">
        <f>('Balance Volumetrico'!C36/'Balance Volumetrico'!$AK36)*$AM36</f>
        <v>428</v>
      </c>
      <c r="D36" s="176">
        <f>('Balance Volumetrico'!D36/'Balance Volumetrico'!$AK36)*$AM36</f>
        <v>1568</v>
      </c>
      <c r="E36" s="176">
        <f>('Balance Volumetrico'!E36/'Balance Volumetrico'!$AK36)*$AM36</f>
        <v>2956.0000000000005</v>
      </c>
      <c r="F36" s="176">
        <f>('Balance Volumetrico'!F36/'Balance Volumetrico'!$AK36)*$AM36</f>
        <v>2</v>
      </c>
      <c r="G36" s="176">
        <f>('Balance Volumetrico'!G36/'Balance Volumetrico'!$AK36)*$AM36</f>
        <v>12321</v>
      </c>
      <c r="H36" s="176">
        <f>('Balance Volumetrico'!H36/'Balance Volumetrico'!$AK36)*$AM36</f>
        <v>1076</v>
      </c>
      <c r="I36" s="176">
        <f>('Balance Volumetrico'!I36/'Balance Volumetrico'!$AK36)*$AM36</f>
        <v>8147</v>
      </c>
      <c r="J36" s="176">
        <f>('Balance Volumetrico'!J36/'Balance Volumetrico'!$AK36)*$AM36</f>
        <v>95</v>
      </c>
      <c r="K36" s="176">
        <f>('Balance Volumetrico'!K36/'Balance Volumetrico'!$AK36)*$AM36</f>
        <v>27490</v>
      </c>
      <c r="L36" s="176">
        <f>('Balance Volumetrico'!L36/'Balance Volumetrico'!$AK36)*$AM36</f>
        <v>2152</v>
      </c>
      <c r="M36" s="176">
        <f>('Balance Volumetrico'!M36/'Balance Volumetrico'!$AK36)*$AM36</f>
        <v>447</v>
      </c>
      <c r="N36" s="176">
        <f>('Balance Volumetrico'!N36/'Balance Volumetrico'!$AK36)*$AM36</f>
        <v>10338</v>
      </c>
      <c r="O36" s="176">
        <f>('Balance Volumetrico'!O36/'Balance Volumetrico'!$AK36)*$AM36</f>
        <v>10475</v>
      </c>
      <c r="P36" s="176">
        <f>('Balance Volumetrico'!P36/'Balance Volumetrico'!$AK36)*$AM36</f>
        <v>2813</v>
      </c>
      <c r="Q36" s="176">
        <f>('Balance Volumetrico'!Q36/'Balance Volumetrico'!$AK36)*$AM36</f>
        <v>250</v>
      </c>
      <c r="R36" s="176">
        <f>('Balance Volumetrico'!R36/'Balance Volumetrico'!$AK36)*$AM36</f>
        <v>1673.0000000000002</v>
      </c>
      <c r="S36" s="176">
        <f>('Balance Volumetrico'!S36/'Balance Volumetrico'!$AK36)*$AM36</f>
        <v>5539</v>
      </c>
      <c r="T36" s="176">
        <f>('Balance Volumetrico'!T36/'Balance Volumetrico'!$AK36)*$AM36</f>
        <v>5860</v>
      </c>
      <c r="U36" s="176">
        <f>('Balance Volumetrico'!U36/'Balance Volumetrico'!$AK36)*$AM36</f>
        <v>0</v>
      </c>
      <c r="V36" s="176">
        <f>('Balance Volumetrico'!V36/'Balance Volumetrico'!$AK36)*$AM36</f>
        <v>0</v>
      </c>
      <c r="W36" s="176">
        <f>('Balance Volumetrico'!W36/'Balance Volumetrico'!$AK36)*$AM36</f>
        <v>0</v>
      </c>
      <c r="X36" s="176">
        <f>('Balance Volumetrico'!X36/'Balance Volumetrico'!$AK36)*$AM36</f>
        <v>0</v>
      </c>
      <c r="Y36" s="176">
        <f>('Balance Volumetrico'!Y36/'Balance Volumetrico'!$AK36)*$AM36</f>
        <v>0</v>
      </c>
      <c r="Z36" s="176">
        <f>('Balance Volumetrico'!Z36/'Balance Volumetrico'!$AK36)*$AM36</f>
        <v>0</v>
      </c>
      <c r="AA36" s="176">
        <f>('Balance Volumetrico'!AA36/'Balance Volumetrico'!$AK36)*$AM36</f>
        <v>0</v>
      </c>
      <c r="AB36" s="176">
        <f>('Balance Volumetrico'!AB36/'Balance Volumetrico'!$AK36)*$AM36</f>
        <v>0</v>
      </c>
      <c r="AC36" s="176">
        <f>('Balance Volumetrico'!AC36/'Balance Volumetrico'!$AK36)*$AM36</f>
        <v>0</v>
      </c>
      <c r="AD36" s="176">
        <f>('Balance Volumetrico'!AD36/'Balance Volumetrico'!$AK36)*$AM36</f>
        <v>0</v>
      </c>
      <c r="AE36" s="176">
        <f>('Balance Volumetrico'!AE36/'Balance Volumetrico'!$AK36)*$AM36</f>
        <v>0</v>
      </c>
      <c r="AF36" s="176">
        <f>('Balance Volumetrico'!AF36/'Balance Volumetrico'!$AK36)*$AM36</f>
        <v>0</v>
      </c>
      <c r="AG36" s="176">
        <f>('Balance Volumetrico'!AG36/'Balance Volumetrico'!$AK36)*$AM36</f>
        <v>0</v>
      </c>
      <c r="AH36" s="176">
        <f>('Balance Volumetrico'!AH36/'Balance Volumetrico'!$AK36)*$AM36</f>
        <v>0</v>
      </c>
      <c r="AI36" s="176">
        <f>('Balance Volumetrico'!AI36/'Balance Volumetrico'!$AK36)*$AM36</f>
        <v>0</v>
      </c>
      <c r="AJ36" s="176">
        <f>('Balance Volumetrico'!AJ36/'Balance Volumetrico'!$AK36)*$AM36</f>
        <v>0</v>
      </c>
      <c r="AK36" s="176">
        <f t="shared" si="1"/>
        <v>93631</v>
      </c>
      <c r="AL36" s="176">
        <f t="shared" si="9"/>
        <v>69725.428571428565</v>
      </c>
      <c r="AM36" s="176">
        <f>'Balance Volumetrico'!AM36</f>
        <v>93631</v>
      </c>
      <c r="AN36" s="176">
        <f t="shared" si="10"/>
        <v>69725.428571428565</v>
      </c>
      <c r="AO36" s="176">
        <f>'Balance Volumetrico'!AO36</f>
        <v>0</v>
      </c>
      <c r="AP36" s="229">
        <f t="shared" si="3"/>
        <v>0</v>
      </c>
      <c r="AQ36" s="229" t="e">
        <f t="shared" si="4"/>
        <v>#DIV/0!</v>
      </c>
    </row>
    <row r="37" spans="1:43" x14ac:dyDescent="0.2">
      <c r="A37" s="294">
        <f>'Balance Volumetrico'!A37</f>
        <v>20130327</v>
      </c>
      <c r="B37" s="176">
        <f>('Balance Volumetrico'!B37/'Balance Volumetrico'!$AK37)*$AM37</f>
        <v>1</v>
      </c>
      <c r="C37" s="176">
        <f>('Balance Volumetrico'!C37/'Balance Volumetrico'!$AK37)*$AM37</f>
        <v>387</v>
      </c>
      <c r="D37" s="176">
        <f>('Balance Volumetrico'!D37/'Balance Volumetrico'!$AK37)*$AM37</f>
        <v>863</v>
      </c>
      <c r="E37" s="176">
        <f>('Balance Volumetrico'!E37/'Balance Volumetrico'!$AK37)*$AM37</f>
        <v>632</v>
      </c>
      <c r="F37" s="176">
        <f>('Balance Volumetrico'!F37/'Balance Volumetrico'!$AK37)*$AM37</f>
        <v>2</v>
      </c>
      <c r="G37" s="176">
        <f>('Balance Volumetrico'!G37/'Balance Volumetrico'!$AK37)*$AM37</f>
        <v>4254</v>
      </c>
      <c r="H37" s="176">
        <f>('Balance Volumetrico'!H37/'Balance Volumetrico'!$AK37)*$AM37</f>
        <v>1053</v>
      </c>
      <c r="I37" s="176">
        <f>('Balance Volumetrico'!I37/'Balance Volumetrico'!$AK37)*$AM37</f>
        <v>7852</v>
      </c>
      <c r="J37" s="176">
        <f>('Balance Volumetrico'!J37/'Balance Volumetrico'!$AK37)*$AM37</f>
        <v>0</v>
      </c>
      <c r="K37" s="176">
        <f>('Balance Volumetrico'!K37/'Balance Volumetrico'!$AK37)*$AM37</f>
        <v>22882</v>
      </c>
      <c r="L37" s="176">
        <f>('Balance Volumetrico'!L37/'Balance Volumetrico'!$AK37)*$AM37</f>
        <v>2050</v>
      </c>
      <c r="M37" s="176">
        <f>('Balance Volumetrico'!M37/'Balance Volumetrico'!$AK37)*$AM37</f>
        <v>2</v>
      </c>
      <c r="N37" s="176">
        <f>('Balance Volumetrico'!N37/'Balance Volumetrico'!$AK37)*$AM37</f>
        <v>10660</v>
      </c>
      <c r="O37" s="176">
        <f>('Balance Volumetrico'!O37/'Balance Volumetrico'!$AK37)*$AM37</f>
        <v>7552</v>
      </c>
      <c r="P37" s="176">
        <f>('Balance Volumetrico'!P37/'Balance Volumetrico'!$AK37)*$AM37</f>
        <v>253</v>
      </c>
      <c r="Q37" s="176">
        <f>('Balance Volumetrico'!Q37/'Balance Volumetrico'!$AK37)*$AM37</f>
        <v>231</v>
      </c>
      <c r="R37" s="176">
        <f>('Balance Volumetrico'!R37/'Balance Volumetrico'!$AK37)*$AM37</f>
        <v>1207</v>
      </c>
      <c r="S37" s="176">
        <f>('Balance Volumetrico'!S37/'Balance Volumetrico'!$AK37)*$AM37</f>
        <v>5828</v>
      </c>
      <c r="T37" s="176">
        <f>('Balance Volumetrico'!T37/'Balance Volumetrico'!$AK37)*$AM37</f>
        <v>820</v>
      </c>
      <c r="U37" s="176">
        <f>('Balance Volumetrico'!U37/'Balance Volumetrico'!$AK37)*$AM37</f>
        <v>0</v>
      </c>
      <c r="V37" s="176">
        <f>('Balance Volumetrico'!V37/'Balance Volumetrico'!$AK37)*$AM37</f>
        <v>0</v>
      </c>
      <c r="W37" s="176">
        <f>('Balance Volumetrico'!W37/'Balance Volumetrico'!$AK37)*$AM37</f>
        <v>0</v>
      </c>
      <c r="X37" s="176">
        <f>('Balance Volumetrico'!X37/'Balance Volumetrico'!$AK37)*$AM37</f>
        <v>0</v>
      </c>
      <c r="Y37" s="176">
        <f>('Balance Volumetrico'!Y37/'Balance Volumetrico'!$AK37)*$AM37</f>
        <v>0</v>
      </c>
      <c r="Z37" s="176">
        <f>('Balance Volumetrico'!Z37/'Balance Volumetrico'!$AK37)*$AM37</f>
        <v>0</v>
      </c>
      <c r="AA37" s="176">
        <f>('Balance Volumetrico'!AA37/'Balance Volumetrico'!$AK37)*$AM37</f>
        <v>0</v>
      </c>
      <c r="AB37" s="176">
        <f>('Balance Volumetrico'!AB37/'Balance Volumetrico'!$AK37)*$AM37</f>
        <v>0</v>
      </c>
      <c r="AC37" s="176">
        <f>('Balance Volumetrico'!AC37/'Balance Volumetrico'!$AK37)*$AM37</f>
        <v>0</v>
      </c>
      <c r="AD37" s="176">
        <f>('Balance Volumetrico'!AD37/'Balance Volumetrico'!$AK37)*$AM37</f>
        <v>0</v>
      </c>
      <c r="AE37" s="176">
        <f>('Balance Volumetrico'!AE37/'Balance Volumetrico'!$AK37)*$AM37</f>
        <v>0</v>
      </c>
      <c r="AF37" s="176">
        <f>('Balance Volumetrico'!AF37/'Balance Volumetrico'!$AK37)*$AM37</f>
        <v>0</v>
      </c>
      <c r="AG37" s="176">
        <f>('Balance Volumetrico'!AG37/'Balance Volumetrico'!$AK37)*$AM37</f>
        <v>0</v>
      </c>
      <c r="AH37" s="176">
        <f>('Balance Volumetrico'!AH37/'Balance Volumetrico'!$AK37)*$AM37</f>
        <v>0</v>
      </c>
      <c r="AI37" s="176">
        <f>('Balance Volumetrico'!AI37/'Balance Volumetrico'!$AK37)*$AM37</f>
        <v>0</v>
      </c>
      <c r="AJ37" s="176">
        <f>('Balance Volumetrico'!AJ37/'Balance Volumetrico'!$AK37)*$AM37</f>
        <v>0</v>
      </c>
      <c r="AK37" s="176">
        <f t="shared" si="1"/>
        <v>66529</v>
      </c>
      <c r="AL37" s="176">
        <f t="shared" si="9"/>
        <v>69725.428571428565</v>
      </c>
      <c r="AM37" s="176">
        <f>'Balance Volumetrico'!AM37</f>
        <v>66529</v>
      </c>
      <c r="AN37" s="176">
        <f t="shared" si="10"/>
        <v>69725.428571428565</v>
      </c>
      <c r="AO37" s="176">
        <f>'Balance Volumetrico'!AO37</f>
        <v>0</v>
      </c>
      <c r="AP37" s="229">
        <f t="shared" si="3"/>
        <v>0</v>
      </c>
      <c r="AQ37" s="229" t="e">
        <f t="shared" si="4"/>
        <v>#DIV/0!</v>
      </c>
    </row>
    <row r="38" spans="1:43" x14ac:dyDescent="0.2">
      <c r="A38" s="294">
        <f>'Balance Volumetrico'!A38</f>
        <v>20130328</v>
      </c>
      <c r="B38" s="176">
        <f>('Balance Volumetrico'!B38/'Balance Volumetrico'!$AK38)*$AM38</f>
        <v>0</v>
      </c>
      <c r="C38" s="176">
        <f>('Balance Volumetrico'!C38/'Balance Volumetrico'!$AK38)*$AM38</f>
        <v>0</v>
      </c>
      <c r="D38" s="176">
        <f>('Balance Volumetrico'!D38/'Balance Volumetrico'!$AK38)*$AM38</f>
        <v>10</v>
      </c>
      <c r="E38" s="176">
        <f>('Balance Volumetrico'!E38/'Balance Volumetrico'!$AK38)*$AM38</f>
        <v>0</v>
      </c>
      <c r="F38" s="176">
        <f>('Balance Volumetrico'!F38/'Balance Volumetrico'!$AK38)*$AM38</f>
        <v>0</v>
      </c>
      <c r="G38" s="176">
        <f>('Balance Volumetrico'!G38/'Balance Volumetrico'!$AK38)*$AM38</f>
        <v>0</v>
      </c>
      <c r="H38" s="176">
        <f>('Balance Volumetrico'!H38/'Balance Volumetrico'!$AK38)*$AM38</f>
        <v>899.99999999999989</v>
      </c>
      <c r="I38" s="176">
        <f>('Balance Volumetrico'!I38/'Balance Volumetrico'!$AK38)*$AM38</f>
        <v>7973</v>
      </c>
      <c r="J38" s="176">
        <f>('Balance Volumetrico'!J38/'Balance Volumetrico'!$AK38)*$AM38</f>
        <v>0</v>
      </c>
      <c r="K38" s="176">
        <f>('Balance Volumetrico'!K38/'Balance Volumetrico'!$AK38)*$AM38</f>
        <v>2400</v>
      </c>
      <c r="L38" s="176">
        <f>('Balance Volumetrico'!L38/'Balance Volumetrico'!$AK38)*$AM38</f>
        <v>1269</v>
      </c>
      <c r="M38" s="176">
        <f>('Balance Volumetrico'!M38/'Balance Volumetrico'!$AK38)*$AM38</f>
        <v>0</v>
      </c>
      <c r="N38" s="176">
        <f>('Balance Volumetrico'!N38/'Balance Volumetrico'!$AK38)*$AM38</f>
        <v>10134</v>
      </c>
      <c r="O38" s="176">
        <f>('Balance Volumetrico'!O38/'Balance Volumetrico'!$AK38)*$AM38</f>
        <v>0</v>
      </c>
      <c r="P38" s="176">
        <f>('Balance Volumetrico'!P38/'Balance Volumetrico'!$AK38)*$AM38</f>
        <v>0</v>
      </c>
      <c r="Q38" s="176">
        <f>('Balance Volumetrico'!Q38/'Balance Volumetrico'!$AK38)*$AM38</f>
        <v>5</v>
      </c>
      <c r="R38" s="176">
        <f>('Balance Volumetrico'!R38/'Balance Volumetrico'!$AK38)*$AM38</f>
        <v>0</v>
      </c>
      <c r="S38" s="176">
        <f>('Balance Volumetrico'!S38/'Balance Volumetrico'!$AK38)*$AM38</f>
        <v>5991</v>
      </c>
      <c r="T38" s="176">
        <f>('Balance Volumetrico'!T38/'Balance Volumetrico'!$AK38)*$AM38</f>
        <v>0</v>
      </c>
      <c r="U38" s="176">
        <f>('Balance Volumetrico'!U38/'Balance Volumetrico'!$AK38)*$AM38</f>
        <v>0</v>
      </c>
      <c r="V38" s="176">
        <f>('Balance Volumetrico'!V38/'Balance Volumetrico'!$AK38)*$AM38</f>
        <v>0</v>
      </c>
      <c r="W38" s="176">
        <f>('Balance Volumetrico'!W38/'Balance Volumetrico'!$AK38)*$AM38</f>
        <v>0</v>
      </c>
      <c r="X38" s="176">
        <f>('Balance Volumetrico'!X38/'Balance Volumetrico'!$AK38)*$AM38</f>
        <v>0</v>
      </c>
      <c r="Y38" s="176">
        <f>('Balance Volumetrico'!Y38/'Balance Volumetrico'!$AK38)*$AM38</f>
        <v>0</v>
      </c>
      <c r="Z38" s="176">
        <f>('Balance Volumetrico'!Z38/'Balance Volumetrico'!$AK38)*$AM38</f>
        <v>0</v>
      </c>
      <c r="AA38" s="176">
        <f>('Balance Volumetrico'!AA38/'Balance Volumetrico'!$AK38)*$AM38</f>
        <v>0</v>
      </c>
      <c r="AB38" s="176">
        <f>('Balance Volumetrico'!AB38/'Balance Volumetrico'!$AK38)*$AM38</f>
        <v>0</v>
      </c>
      <c r="AC38" s="176">
        <f>('Balance Volumetrico'!AC38/'Balance Volumetrico'!$AK38)*$AM38</f>
        <v>0</v>
      </c>
      <c r="AD38" s="176">
        <f>('Balance Volumetrico'!AD38/'Balance Volumetrico'!$AK38)*$AM38</f>
        <v>0</v>
      </c>
      <c r="AE38" s="176">
        <f>('Balance Volumetrico'!AE38/'Balance Volumetrico'!$AK38)*$AM38</f>
        <v>0</v>
      </c>
      <c r="AF38" s="176">
        <f>('Balance Volumetrico'!AF38/'Balance Volumetrico'!$AK38)*$AM38</f>
        <v>0</v>
      </c>
      <c r="AG38" s="176">
        <f>('Balance Volumetrico'!AG38/'Balance Volumetrico'!$AK38)*$AM38</f>
        <v>0</v>
      </c>
      <c r="AH38" s="176">
        <f>('Balance Volumetrico'!AH38/'Balance Volumetrico'!$AK38)*$AM38</f>
        <v>0</v>
      </c>
      <c r="AI38" s="176">
        <f>('Balance Volumetrico'!AI38/'Balance Volumetrico'!$AK38)*$AM38</f>
        <v>0</v>
      </c>
      <c r="AJ38" s="176">
        <f>('Balance Volumetrico'!AJ38/'Balance Volumetrico'!$AK38)*$AM38</f>
        <v>0</v>
      </c>
      <c r="AK38" s="176">
        <f t="shared" si="1"/>
        <v>28682</v>
      </c>
      <c r="AL38" s="176">
        <f t="shared" si="9"/>
        <v>69725.428571428565</v>
      </c>
      <c r="AM38" s="176">
        <f>'Balance Volumetrico'!AM38</f>
        <v>28682</v>
      </c>
      <c r="AN38" s="176">
        <f>AVERAGE($AM$32:$AM$38)</f>
        <v>69725.428571428565</v>
      </c>
      <c r="AO38" s="176">
        <f>'Balance Volumetrico'!AO38</f>
        <v>0</v>
      </c>
      <c r="AP38" s="229">
        <f t="shared" si="3"/>
        <v>0</v>
      </c>
      <c r="AQ38" s="229" t="e">
        <f t="shared" si="4"/>
        <v>#DIV/0!</v>
      </c>
    </row>
    <row r="39" spans="1:43" x14ac:dyDescent="0.2">
      <c r="A39" s="294">
        <f>'Balance Volumetrico'!A39</f>
        <v>20130329</v>
      </c>
      <c r="B39" s="176">
        <f>('Balance Volumetrico'!B39/'Balance Volumetrico'!$AK39)*$AM39</f>
        <v>0</v>
      </c>
      <c r="C39" s="176">
        <f>('Balance Volumetrico'!C39/'Balance Volumetrico'!$AK39)*$AM39</f>
        <v>0</v>
      </c>
      <c r="D39" s="176">
        <f>('Balance Volumetrico'!D39/'Balance Volumetrico'!$AK39)*$AM39</f>
        <v>10</v>
      </c>
      <c r="E39" s="176">
        <f>('Balance Volumetrico'!E39/'Balance Volumetrico'!$AK39)*$AM39</f>
        <v>0</v>
      </c>
      <c r="F39" s="176">
        <f>('Balance Volumetrico'!F39/'Balance Volumetrico'!$AK39)*$AM39</f>
        <v>0</v>
      </c>
      <c r="G39" s="176">
        <f>('Balance Volumetrico'!G39/'Balance Volumetrico'!$AK39)*$AM39</f>
        <v>0</v>
      </c>
      <c r="H39" s="176">
        <f>('Balance Volumetrico'!H39/'Balance Volumetrico'!$AK39)*$AM39</f>
        <v>174</v>
      </c>
      <c r="I39" s="176">
        <f>('Balance Volumetrico'!I39/'Balance Volumetrico'!$AK39)*$AM39</f>
        <v>7344</v>
      </c>
      <c r="J39" s="176">
        <f>('Balance Volumetrico'!J39/'Balance Volumetrico'!$AK39)*$AM39</f>
        <v>0</v>
      </c>
      <c r="K39" s="176">
        <f>('Balance Volumetrico'!K39/'Balance Volumetrico'!$AK39)*$AM39</f>
        <v>2115</v>
      </c>
      <c r="L39" s="176">
        <f>('Balance Volumetrico'!L39/'Balance Volumetrico'!$AK39)*$AM39</f>
        <v>0</v>
      </c>
      <c r="M39" s="176">
        <f>('Balance Volumetrico'!M39/'Balance Volumetrico'!$AK39)*$AM39</f>
        <v>0</v>
      </c>
      <c r="N39" s="176">
        <f>('Balance Volumetrico'!N39/'Balance Volumetrico'!$AK39)*$AM39</f>
        <v>10460</v>
      </c>
      <c r="O39" s="176">
        <f>('Balance Volumetrico'!O39/'Balance Volumetrico'!$AK39)*$AM39</f>
        <v>0</v>
      </c>
      <c r="P39" s="176">
        <f>('Balance Volumetrico'!P39/'Balance Volumetrico'!$AK39)*$AM39</f>
        <v>0</v>
      </c>
      <c r="Q39" s="176">
        <f>('Balance Volumetrico'!Q39/'Balance Volumetrico'!$AK39)*$AM39</f>
        <v>3</v>
      </c>
      <c r="R39" s="176">
        <f>('Balance Volumetrico'!R39/'Balance Volumetrico'!$AK39)*$AM39</f>
        <v>0</v>
      </c>
      <c r="S39" s="176">
        <f>('Balance Volumetrico'!S39/'Balance Volumetrico'!$AK39)*$AM39</f>
        <v>6085</v>
      </c>
      <c r="T39" s="176">
        <f>('Balance Volumetrico'!T39/'Balance Volumetrico'!$AK39)*$AM39</f>
        <v>3</v>
      </c>
      <c r="U39" s="176">
        <f>('Balance Volumetrico'!U39/'Balance Volumetrico'!$AK39)*$AM39</f>
        <v>0</v>
      </c>
      <c r="V39" s="176">
        <f>('Balance Volumetrico'!V39/'Balance Volumetrico'!$AK39)*$AM39</f>
        <v>0</v>
      </c>
      <c r="W39" s="176">
        <f>('Balance Volumetrico'!W39/'Balance Volumetrico'!$AK39)*$AM39</f>
        <v>0</v>
      </c>
      <c r="X39" s="176">
        <f>('Balance Volumetrico'!X39/'Balance Volumetrico'!$AK39)*$AM39</f>
        <v>0</v>
      </c>
      <c r="Y39" s="176">
        <f>('Balance Volumetrico'!Y39/'Balance Volumetrico'!$AK39)*$AM39</f>
        <v>0</v>
      </c>
      <c r="Z39" s="176">
        <f>('Balance Volumetrico'!Z39/'Balance Volumetrico'!$AK39)*$AM39</f>
        <v>0</v>
      </c>
      <c r="AA39" s="176">
        <f>('Balance Volumetrico'!AA39/'Balance Volumetrico'!$AK39)*$AM39</f>
        <v>0</v>
      </c>
      <c r="AB39" s="176">
        <f>('Balance Volumetrico'!AB39/'Balance Volumetrico'!$AK39)*$AM39</f>
        <v>0</v>
      </c>
      <c r="AC39" s="176">
        <f>('Balance Volumetrico'!AC39/'Balance Volumetrico'!$AK39)*$AM39</f>
        <v>0</v>
      </c>
      <c r="AD39" s="176">
        <f>('Balance Volumetrico'!AD39/'Balance Volumetrico'!$AK39)*$AM39</f>
        <v>0</v>
      </c>
      <c r="AE39" s="176">
        <f>('Balance Volumetrico'!AE39/'Balance Volumetrico'!$AK39)*$AM39</f>
        <v>0</v>
      </c>
      <c r="AF39" s="176">
        <f>('Balance Volumetrico'!AF39/'Balance Volumetrico'!$AK39)*$AM39</f>
        <v>0</v>
      </c>
      <c r="AG39" s="176">
        <f>('Balance Volumetrico'!AG39/'Balance Volumetrico'!$AK39)*$AM39</f>
        <v>0</v>
      </c>
      <c r="AH39" s="176">
        <f>('Balance Volumetrico'!AH39/'Balance Volumetrico'!$AK39)*$AM39</f>
        <v>0</v>
      </c>
      <c r="AI39" s="176">
        <f>('Balance Volumetrico'!AI39/'Balance Volumetrico'!$AK39)*$AM39</f>
        <v>0</v>
      </c>
      <c r="AJ39" s="176">
        <f>('Balance Volumetrico'!AJ39/'Balance Volumetrico'!$AK39)*$AM39</f>
        <v>0</v>
      </c>
      <c r="AK39" s="176">
        <f t="shared" si="1"/>
        <v>26194</v>
      </c>
      <c r="AL39" s="176">
        <f>AVERAGE($AK$39:$AK$41)</f>
        <v>30004.333333333332</v>
      </c>
      <c r="AM39" s="176">
        <f>'Balance Volumetrico'!AM39</f>
        <v>26194</v>
      </c>
      <c r="AN39" s="176">
        <f>AVERAGE($AM$39:$AM$41)</f>
        <v>30004.333333333332</v>
      </c>
      <c r="AO39" s="176">
        <f>'Balance Volumetrico'!AO39</f>
        <v>0</v>
      </c>
      <c r="AP39" s="229">
        <f t="shared" si="3"/>
        <v>0</v>
      </c>
      <c r="AQ39" s="229" t="e">
        <f t="shared" si="4"/>
        <v>#DIV/0!</v>
      </c>
    </row>
    <row r="40" spans="1:43" x14ac:dyDescent="0.2">
      <c r="A40" s="294">
        <f>'Balance Volumetrico'!A40</f>
        <v>20130330</v>
      </c>
      <c r="B40" s="176">
        <f>('Balance Volumetrico'!B40/'Balance Volumetrico'!$AK40)*$AM40</f>
        <v>0</v>
      </c>
      <c r="C40" s="176">
        <f>('Balance Volumetrico'!C40/'Balance Volumetrico'!$AK40)*$AM40</f>
        <v>0</v>
      </c>
      <c r="D40" s="176">
        <f>('Balance Volumetrico'!D40/'Balance Volumetrico'!$AK40)*$AM40</f>
        <v>0</v>
      </c>
      <c r="E40" s="176">
        <f>('Balance Volumetrico'!E40/'Balance Volumetrico'!$AK40)*$AM40</f>
        <v>0</v>
      </c>
      <c r="F40" s="176">
        <f>('Balance Volumetrico'!F40/'Balance Volumetrico'!$AK40)*$AM40</f>
        <v>0</v>
      </c>
      <c r="G40" s="176">
        <f>('Balance Volumetrico'!G40/'Balance Volumetrico'!$AK40)*$AM40</f>
        <v>0</v>
      </c>
      <c r="H40" s="176">
        <f>('Balance Volumetrico'!H40/'Balance Volumetrico'!$AK40)*$AM40</f>
        <v>974.99999999999989</v>
      </c>
      <c r="I40" s="176">
        <f>('Balance Volumetrico'!I40/'Balance Volumetrico'!$AK40)*$AM40</f>
        <v>7414</v>
      </c>
      <c r="J40" s="176">
        <f>('Balance Volumetrico'!J40/'Balance Volumetrico'!$AK40)*$AM40</f>
        <v>0</v>
      </c>
      <c r="K40" s="176">
        <f>('Balance Volumetrico'!K40/'Balance Volumetrico'!$AK40)*$AM40</f>
        <v>1892.0000000000002</v>
      </c>
      <c r="L40" s="176">
        <f>('Balance Volumetrico'!L40/'Balance Volumetrico'!$AK40)*$AM40</f>
        <v>0</v>
      </c>
      <c r="M40" s="176">
        <f>('Balance Volumetrico'!M40/'Balance Volumetrico'!$AK40)*$AM40</f>
        <v>3</v>
      </c>
      <c r="N40" s="176">
        <f>('Balance Volumetrico'!N40/'Balance Volumetrico'!$AK40)*$AM40</f>
        <v>10048</v>
      </c>
      <c r="O40" s="176">
        <f>('Balance Volumetrico'!O40/'Balance Volumetrico'!$AK40)*$AM40</f>
        <v>316</v>
      </c>
      <c r="P40" s="176">
        <f>('Balance Volumetrico'!P40/'Balance Volumetrico'!$AK40)*$AM40</f>
        <v>0</v>
      </c>
      <c r="Q40" s="176">
        <f>('Balance Volumetrico'!Q40/'Balance Volumetrico'!$AK40)*$AM40</f>
        <v>5</v>
      </c>
      <c r="R40" s="176">
        <f>('Balance Volumetrico'!R40/'Balance Volumetrico'!$AK40)*$AM40</f>
        <v>0</v>
      </c>
      <c r="S40" s="176">
        <f>('Balance Volumetrico'!S40/'Balance Volumetrico'!$AK40)*$AM40</f>
        <v>6165</v>
      </c>
      <c r="T40" s="176">
        <f>('Balance Volumetrico'!T40/'Balance Volumetrico'!$AK40)*$AM40</f>
        <v>0</v>
      </c>
      <c r="U40" s="176">
        <f>('Balance Volumetrico'!U40/'Balance Volumetrico'!$AK40)*$AM40</f>
        <v>0</v>
      </c>
      <c r="V40" s="176">
        <f>('Balance Volumetrico'!V40/'Balance Volumetrico'!$AK40)*$AM40</f>
        <v>0</v>
      </c>
      <c r="W40" s="176">
        <f>('Balance Volumetrico'!W40/'Balance Volumetrico'!$AK40)*$AM40</f>
        <v>0</v>
      </c>
      <c r="X40" s="176">
        <f>('Balance Volumetrico'!X40/'Balance Volumetrico'!$AK40)*$AM40</f>
        <v>0</v>
      </c>
      <c r="Y40" s="176">
        <f>('Balance Volumetrico'!Y40/'Balance Volumetrico'!$AK40)*$AM40</f>
        <v>0</v>
      </c>
      <c r="Z40" s="176">
        <f>('Balance Volumetrico'!Z40/'Balance Volumetrico'!$AK40)*$AM40</f>
        <v>0</v>
      </c>
      <c r="AA40" s="176">
        <f>('Balance Volumetrico'!AA40/'Balance Volumetrico'!$AK40)*$AM40</f>
        <v>0</v>
      </c>
      <c r="AB40" s="176">
        <f>('Balance Volumetrico'!AB40/'Balance Volumetrico'!$AK40)*$AM40</f>
        <v>0</v>
      </c>
      <c r="AC40" s="176">
        <f>('Balance Volumetrico'!AC40/'Balance Volumetrico'!$AK40)*$AM40</f>
        <v>0</v>
      </c>
      <c r="AD40" s="176">
        <f>('Balance Volumetrico'!AD40/'Balance Volumetrico'!$AK40)*$AM40</f>
        <v>0</v>
      </c>
      <c r="AE40" s="176">
        <f>('Balance Volumetrico'!AE40/'Balance Volumetrico'!$AK40)*$AM40</f>
        <v>0</v>
      </c>
      <c r="AF40" s="176">
        <f>('Balance Volumetrico'!AF40/'Balance Volumetrico'!$AK40)*$AM40</f>
        <v>0</v>
      </c>
      <c r="AG40" s="176">
        <f>('Balance Volumetrico'!AG40/'Balance Volumetrico'!$AK40)*$AM40</f>
        <v>0</v>
      </c>
      <c r="AH40" s="176">
        <f>('Balance Volumetrico'!AH40/'Balance Volumetrico'!$AK40)*$AM40</f>
        <v>0</v>
      </c>
      <c r="AI40" s="176">
        <f>('Balance Volumetrico'!AI40/'Balance Volumetrico'!$AK40)*$AM40</f>
        <v>0</v>
      </c>
      <c r="AJ40" s="176">
        <f>('Balance Volumetrico'!AJ40/'Balance Volumetrico'!$AK40)*$AM40</f>
        <v>0</v>
      </c>
      <c r="AK40" s="176">
        <f t="shared" si="1"/>
        <v>26818</v>
      </c>
      <c r="AL40" s="176">
        <f>AVERAGE($AK$39:$AK$41)</f>
        <v>30004.333333333332</v>
      </c>
      <c r="AM40" s="176">
        <f>'Balance Volumetrico'!AM40</f>
        <v>26818</v>
      </c>
      <c r="AN40" s="176">
        <f>AVERAGE($AM$39:$AM$41)</f>
        <v>30004.333333333332</v>
      </c>
      <c r="AO40" s="176">
        <f>'Balance Volumetrico'!AO40</f>
        <v>0</v>
      </c>
      <c r="AP40" s="229">
        <f t="shared" si="3"/>
        <v>0</v>
      </c>
      <c r="AQ40" s="229" t="e">
        <f t="shared" si="4"/>
        <v>#DIV/0!</v>
      </c>
    </row>
    <row r="41" spans="1:43" x14ac:dyDescent="0.2">
      <c r="A41" s="294">
        <f>'Balance Volumetrico'!A41</f>
        <v>20130331</v>
      </c>
      <c r="B41" s="176">
        <f>('Balance Volumetrico'!B41/'Balance Volumetrico'!$AK41)*$AM41</f>
        <v>0</v>
      </c>
      <c r="C41" s="176">
        <f>('Balance Volumetrico'!C41/'Balance Volumetrico'!$AK41)*$AM41</f>
        <v>0</v>
      </c>
      <c r="D41" s="176">
        <f>('Balance Volumetrico'!D41/'Balance Volumetrico'!$AK41)*$AM41</f>
        <v>745</v>
      </c>
      <c r="E41" s="176">
        <f>('Balance Volumetrico'!E41/'Balance Volumetrico'!$AK41)*$AM41</f>
        <v>477</v>
      </c>
      <c r="F41" s="176">
        <f>('Balance Volumetrico'!F41/'Balance Volumetrico'!$AK41)*$AM41</f>
        <v>0</v>
      </c>
      <c r="G41" s="176">
        <f>('Balance Volumetrico'!G41/'Balance Volumetrico'!$AK41)*$AM41</f>
        <v>3326</v>
      </c>
      <c r="H41" s="176">
        <f>('Balance Volumetrico'!H41/'Balance Volumetrico'!$AK41)*$AM41</f>
        <v>1005</v>
      </c>
      <c r="I41" s="176">
        <f>('Balance Volumetrico'!I41/'Balance Volumetrico'!$AK41)*$AM41</f>
        <v>7556</v>
      </c>
      <c r="J41" s="176">
        <f>('Balance Volumetrico'!J41/'Balance Volumetrico'!$AK41)*$AM41</f>
        <v>117</v>
      </c>
      <c r="K41" s="176">
        <f>('Balance Volumetrico'!K41/'Balance Volumetrico'!$AK41)*$AM41</f>
        <v>6300.0000000000009</v>
      </c>
      <c r="L41" s="176">
        <f>('Balance Volumetrico'!L41/'Balance Volumetrico'!$AK41)*$AM41</f>
        <v>281</v>
      </c>
      <c r="M41" s="176">
        <f>('Balance Volumetrico'!M41/'Balance Volumetrico'!$AK41)*$AM41</f>
        <v>0</v>
      </c>
      <c r="N41" s="176">
        <f>('Balance Volumetrico'!N41/'Balance Volumetrico'!$AK41)*$AM41</f>
        <v>8996</v>
      </c>
      <c r="O41" s="176">
        <f>('Balance Volumetrico'!O41/'Balance Volumetrico'!$AK41)*$AM41</f>
        <v>951</v>
      </c>
      <c r="P41" s="176">
        <f>('Balance Volumetrico'!P41/'Balance Volumetrico'!$AK41)*$AM41</f>
        <v>1292</v>
      </c>
      <c r="Q41" s="176">
        <f>('Balance Volumetrico'!Q41/'Balance Volumetrico'!$AK41)*$AM41</f>
        <v>24</v>
      </c>
      <c r="R41" s="176">
        <f>('Balance Volumetrico'!R41/'Balance Volumetrico'!$AK41)*$AM41</f>
        <v>0</v>
      </c>
      <c r="S41" s="176">
        <f>('Balance Volumetrico'!S41/'Balance Volumetrico'!$AK41)*$AM41</f>
        <v>5826</v>
      </c>
      <c r="T41" s="176">
        <f>('Balance Volumetrico'!T41/'Balance Volumetrico'!$AK41)*$AM41</f>
        <v>105.00000000000001</v>
      </c>
      <c r="U41" s="176">
        <f>('Balance Volumetrico'!U41/'Balance Volumetrico'!$AK41)*$AM41</f>
        <v>0</v>
      </c>
      <c r="V41" s="176">
        <f>('Balance Volumetrico'!V41/'Balance Volumetrico'!$AK41)*$AM41</f>
        <v>0</v>
      </c>
      <c r="W41" s="176">
        <f>('Balance Volumetrico'!W41/'Balance Volumetrico'!$AK41)*$AM41</f>
        <v>0</v>
      </c>
      <c r="X41" s="176">
        <f>('Balance Volumetrico'!X41/'Balance Volumetrico'!$AK41)*$AM41</f>
        <v>0</v>
      </c>
      <c r="Y41" s="176">
        <f>('Balance Volumetrico'!Y41/'Balance Volumetrico'!$AK41)*$AM41</f>
        <v>0</v>
      </c>
      <c r="Z41" s="176">
        <f>('Balance Volumetrico'!Z41/'Balance Volumetrico'!$AK41)*$AM41</f>
        <v>0</v>
      </c>
      <c r="AA41" s="176">
        <f>('Balance Volumetrico'!AA41/'Balance Volumetrico'!$AK41)*$AM41</f>
        <v>0</v>
      </c>
      <c r="AB41" s="176">
        <f>('Balance Volumetrico'!AB41/'Balance Volumetrico'!$AK41)*$AM41</f>
        <v>0</v>
      </c>
      <c r="AC41" s="176">
        <f>('Balance Volumetrico'!AC41/'Balance Volumetrico'!$AK41)*$AM41</f>
        <v>0</v>
      </c>
      <c r="AD41" s="176">
        <f>('Balance Volumetrico'!AD41/'Balance Volumetrico'!$AK41)*$AM41</f>
        <v>0</v>
      </c>
      <c r="AE41" s="176">
        <f>('Balance Volumetrico'!AE41/'Balance Volumetrico'!$AK41)*$AM41</f>
        <v>0</v>
      </c>
      <c r="AF41" s="176">
        <f>('Balance Volumetrico'!AF41/'Balance Volumetrico'!$AK41)*$AM41</f>
        <v>0</v>
      </c>
      <c r="AG41" s="176">
        <f>('Balance Volumetrico'!AG41/'Balance Volumetrico'!$AK41)*$AM41</f>
        <v>0</v>
      </c>
      <c r="AH41" s="176">
        <f>('Balance Volumetrico'!AH41/'Balance Volumetrico'!$AK41)*$AM41</f>
        <v>0</v>
      </c>
      <c r="AI41" s="176">
        <f>('Balance Volumetrico'!AI41/'Balance Volumetrico'!$AK41)*$AM41</f>
        <v>0</v>
      </c>
      <c r="AJ41" s="176">
        <f>('Balance Volumetrico'!AJ41/'Balance Volumetrico'!$AK41)*$AM41</f>
        <v>0</v>
      </c>
      <c r="AK41" s="176">
        <f t="shared" si="1"/>
        <v>37001</v>
      </c>
      <c r="AL41" s="176">
        <f>AVERAGE($AK$39:$AK$41)</f>
        <v>30004.333333333332</v>
      </c>
      <c r="AM41" s="176">
        <f>'Balance Volumetrico'!AM41</f>
        <v>37001</v>
      </c>
      <c r="AN41" s="176">
        <f>AVERAGE($AM$39:$AM$41)</f>
        <v>30004.333333333332</v>
      </c>
      <c r="AO41" s="176">
        <f>'Balance Volumetrico'!AO41</f>
        <v>0</v>
      </c>
      <c r="AP41" s="229">
        <f t="shared" si="3"/>
        <v>0</v>
      </c>
      <c r="AQ41" s="229" t="e">
        <f t="shared" si="4"/>
        <v>#DIV/0!</v>
      </c>
    </row>
    <row r="42" spans="1:43" s="182" customFormat="1" ht="13.5" thickBot="1" x14ac:dyDescent="0.25">
      <c r="A42" s="180" t="s">
        <v>53</v>
      </c>
      <c r="B42" s="181">
        <f>SUM(B11:B41)</f>
        <v>584.17876228805176</v>
      </c>
      <c r="C42" s="181">
        <f t="shared" ref="C42:AF42" si="11">SUM(C11:C41)</f>
        <v>114663.02938313624</v>
      </c>
      <c r="D42" s="181">
        <f t="shared" si="11"/>
        <v>27160.316927536704</v>
      </c>
      <c r="E42" s="181">
        <f t="shared" si="11"/>
        <v>74880.454459275585</v>
      </c>
      <c r="F42" s="181">
        <f t="shared" si="11"/>
        <v>60151.12035639715</v>
      </c>
      <c r="G42" s="181">
        <f t="shared" si="11"/>
        <v>241209.52233263152</v>
      </c>
      <c r="H42" s="181">
        <f t="shared" si="11"/>
        <v>31252.527125956003</v>
      </c>
      <c r="I42" s="181">
        <f t="shared" si="11"/>
        <v>291266.97997398674</v>
      </c>
      <c r="J42" s="181">
        <f t="shared" si="11"/>
        <v>25254.390321481897</v>
      </c>
      <c r="K42" s="181">
        <f t="shared" si="11"/>
        <v>512238.12672078155</v>
      </c>
      <c r="L42" s="181">
        <f t="shared" si="11"/>
        <v>37969.388621289705</v>
      </c>
      <c r="M42" s="181">
        <f t="shared" si="11"/>
        <v>7451.3857780598291</v>
      </c>
      <c r="N42" s="181">
        <f t="shared" si="11"/>
        <v>308979.82306278683</v>
      </c>
      <c r="O42" s="181">
        <f t="shared" si="11"/>
        <v>220434.62135068013</v>
      </c>
      <c r="P42" s="181">
        <f t="shared" si="11"/>
        <v>65298.955009047189</v>
      </c>
      <c r="Q42" s="181">
        <f t="shared" si="11"/>
        <v>7173.9826964464337</v>
      </c>
      <c r="R42" s="181">
        <f t="shared" si="11"/>
        <v>27170.967283229045</v>
      </c>
      <c r="S42" s="181">
        <f t="shared" si="11"/>
        <v>177244.18580951256</v>
      </c>
      <c r="T42" s="181">
        <f t="shared" si="11"/>
        <v>101126.04402547685</v>
      </c>
      <c r="U42" s="181">
        <f t="shared" si="11"/>
        <v>0</v>
      </c>
      <c r="V42" s="181">
        <f t="shared" si="11"/>
        <v>0</v>
      </c>
      <c r="W42" s="181">
        <f t="shared" si="11"/>
        <v>0</v>
      </c>
      <c r="X42" s="181">
        <f t="shared" si="11"/>
        <v>0</v>
      </c>
      <c r="Y42" s="181">
        <f t="shared" si="11"/>
        <v>0</v>
      </c>
      <c r="Z42" s="181">
        <f t="shared" si="11"/>
        <v>0</v>
      </c>
      <c r="AA42" s="181">
        <f t="shared" si="11"/>
        <v>0</v>
      </c>
      <c r="AB42" s="181">
        <f t="shared" si="11"/>
        <v>0</v>
      </c>
      <c r="AC42" s="181">
        <f t="shared" si="11"/>
        <v>0</v>
      </c>
      <c r="AD42" s="181">
        <f t="shared" si="11"/>
        <v>0</v>
      </c>
      <c r="AE42" s="181">
        <f t="shared" si="11"/>
        <v>0</v>
      </c>
      <c r="AF42" s="181">
        <f t="shared" si="11"/>
        <v>0</v>
      </c>
      <c r="AG42" s="181">
        <f t="shared" ref="AG42:AO42" si="12">SUM(AG11:AG41)</f>
        <v>0</v>
      </c>
      <c r="AH42" s="181">
        <f t="shared" si="12"/>
        <v>0</v>
      </c>
      <c r="AI42" s="181">
        <f t="shared" ref="AI42:AJ42" si="13">SUM(AI11:AI41)</f>
        <v>0</v>
      </c>
      <c r="AJ42" s="181">
        <f t="shared" si="13"/>
        <v>0</v>
      </c>
      <c r="AK42" s="181">
        <f t="shared" si="12"/>
        <v>2331510</v>
      </c>
      <c r="AL42" s="181">
        <f t="shared" si="12"/>
        <v>2331510.0000000005</v>
      </c>
      <c r="AM42" s="181">
        <f t="shared" si="12"/>
        <v>2331510</v>
      </c>
      <c r="AN42" s="181">
        <f t="shared" si="12"/>
        <v>2331510.0000000005</v>
      </c>
      <c r="AO42" s="181">
        <f t="shared" si="12"/>
        <v>1226249</v>
      </c>
      <c r="AP42" s="164">
        <f>(AN42-AL42)/AN42</f>
        <v>0</v>
      </c>
      <c r="AQ42" s="164">
        <f>(AO42-AN42)/AO42</f>
        <v>-0.90133488386127159</v>
      </c>
    </row>
    <row r="43" spans="1:43" s="209" customFormat="1" x14ac:dyDescent="0.2">
      <c r="A43" s="777" t="s">
        <v>69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778"/>
      <c r="O43" s="778"/>
      <c r="P43" s="778"/>
      <c r="Q43" s="778"/>
      <c r="R43" s="778"/>
      <c r="S43" s="778"/>
      <c r="T43" s="778"/>
      <c r="U43" s="778"/>
      <c r="V43" s="778"/>
      <c r="W43" s="778"/>
      <c r="X43" s="778"/>
      <c r="Y43" s="778"/>
      <c r="Z43" s="778"/>
      <c r="AA43" s="778"/>
      <c r="AB43" s="778"/>
      <c r="AC43" s="778"/>
      <c r="AD43" s="778"/>
      <c r="AE43" s="778"/>
      <c r="AF43" s="778"/>
      <c r="AG43" s="778"/>
      <c r="AH43" s="778"/>
      <c r="AI43" s="778"/>
      <c r="AJ43" s="778"/>
      <c r="AK43" s="778"/>
      <c r="AL43" s="778"/>
      <c r="AM43" s="778"/>
      <c r="AN43" s="778"/>
      <c r="AO43" s="778"/>
      <c r="AP43" s="778"/>
      <c r="AQ43" s="779"/>
    </row>
    <row r="44" spans="1:43" s="179" customFormat="1" x14ac:dyDescent="0.2">
      <c r="A44" s="177" t="s">
        <v>55</v>
      </c>
      <c r="B44" s="178">
        <f t="shared" ref="B44:AN44" si="14">SUM(B11:B24)</f>
        <v>458.17876228805176</v>
      </c>
      <c r="C44" s="178">
        <f t="shared" si="14"/>
        <v>71478.731675133604</v>
      </c>
      <c r="D44" s="178">
        <f t="shared" si="14"/>
        <v>15185.954718391942</v>
      </c>
      <c r="E44" s="178">
        <f t="shared" si="14"/>
        <v>42766.959666600691</v>
      </c>
      <c r="F44" s="178">
        <f t="shared" si="14"/>
        <v>40462.166699654728</v>
      </c>
      <c r="G44" s="178">
        <f t="shared" si="14"/>
        <v>125575.80267643114</v>
      </c>
      <c r="H44" s="178">
        <f>SUM(H11:H24)</f>
        <v>15078.443150579489</v>
      </c>
      <c r="I44" s="178">
        <f t="shared" si="14"/>
        <v>156119.99191792571</v>
      </c>
      <c r="J44" s="178">
        <f t="shared" si="14"/>
        <v>17424.193991774977</v>
      </c>
      <c r="K44" s="178">
        <f t="shared" si="14"/>
        <v>267061.79556200653</v>
      </c>
      <c r="L44" s="178">
        <f t="shared" si="14"/>
        <v>18749.015823271977</v>
      </c>
      <c r="M44" s="178">
        <f t="shared" si="14"/>
        <v>3571.4765674825712</v>
      </c>
      <c r="N44" s="178">
        <f t="shared" si="14"/>
        <v>135842.12005454025</v>
      </c>
      <c r="O44" s="178">
        <f t="shared" si="14"/>
        <v>123390.33065030459</v>
      </c>
      <c r="P44" s="178">
        <f t="shared" si="14"/>
        <v>32278.435244441513</v>
      </c>
      <c r="Q44" s="178">
        <f t="shared" si="14"/>
        <v>4192.797904158695</v>
      </c>
      <c r="R44" s="178">
        <f t="shared" si="14"/>
        <v>14517.134866178443</v>
      </c>
      <c r="S44" s="178">
        <f t="shared" si="14"/>
        <v>81872.406181962127</v>
      </c>
      <c r="T44" s="178">
        <f t="shared" si="14"/>
        <v>60223.063886872951</v>
      </c>
      <c r="U44" s="178">
        <f t="shared" si="14"/>
        <v>0</v>
      </c>
      <c r="V44" s="178">
        <f t="shared" si="14"/>
        <v>0</v>
      </c>
      <c r="W44" s="178">
        <f>SUM(W11:W24)</f>
        <v>0</v>
      </c>
      <c r="X44" s="178">
        <f t="shared" ref="X44:AL44" si="15">SUM(X11:X24)</f>
        <v>0</v>
      </c>
      <c r="Y44" s="178">
        <f t="shared" si="15"/>
        <v>0</v>
      </c>
      <c r="Z44" s="178">
        <f>SUM(Z11:Z24)</f>
        <v>0</v>
      </c>
      <c r="AA44" s="178">
        <f t="shared" si="15"/>
        <v>0</v>
      </c>
      <c r="AB44" s="178">
        <f t="shared" si="15"/>
        <v>0</v>
      </c>
      <c r="AC44" s="178">
        <f t="shared" ref="AC44:AH44" si="16">SUM(AC11:AC24)</f>
        <v>0</v>
      </c>
      <c r="AD44" s="178">
        <f t="shared" si="16"/>
        <v>0</v>
      </c>
      <c r="AE44" s="178">
        <f t="shared" si="16"/>
        <v>0</v>
      </c>
      <c r="AF44" s="178">
        <f t="shared" si="16"/>
        <v>0</v>
      </c>
      <c r="AG44" s="178">
        <f t="shared" si="16"/>
        <v>0</v>
      </c>
      <c r="AH44" s="178">
        <f t="shared" si="16"/>
        <v>0</v>
      </c>
      <c r="AI44" s="178">
        <f t="shared" ref="AI44:AJ44" si="17">SUM(AI11:AI24)</f>
        <v>0</v>
      </c>
      <c r="AJ44" s="178">
        <f t="shared" si="17"/>
        <v>0</v>
      </c>
      <c r="AK44" s="178">
        <f t="shared" si="15"/>
        <v>1226249</v>
      </c>
      <c r="AL44" s="178">
        <f t="shared" si="15"/>
        <v>1226248.9999999998</v>
      </c>
      <c r="AM44" s="178">
        <f t="shared" si="14"/>
        <v>1226249</v>
      </c>
      <c r="AN44" s="178">
        <f t="shared" si="14"/>
        <v>1226248.9999999998</v>
      </c>
      <c r="AO44" s="178">
        <f>SUM(AO11:AO24)</f>
        <v>1226249</v>
      </c>
      <c r="AP44" s="164">
        <f>(AK44-AO44)/AK44</f>
        <v>0</v>
      </c>
      <c r="AQ44" s="164">
        <f>(AO44-AN44)/AO44</f>
        <v>1.8987223936889622E-16</v>
      </c>
    </row>
    <row r="45" spans="1:43" s="179" customFormat="1" x14ac:dyDescent="0.2">
      <c r="A45" s="409" t="s">
        <v>56</v>
      </c>
      <c r="B45" s="210">
        <f t="shared" ref="B45:AF45" si="18">B44/$AK$44</f>
        <v>3.7364251655907713E-4</v>
      </c>
      <c r="C45" s="210">
        <f t="shared" si="18"/>
        <v>5.8290552469468765E-2</v>
      </c>
      <c r="D45" s="210">
        <f t="shared" si="18"/>
        <v>1.2384071031570213E-2</v>
      </c>
      <c r="E45" s="210">
        <f t="shared" si="18"/>
        <v>3.4876244275510677E-2</v>
      </c>
      <c r="F45" s="210">
        <f t="shared" si="18"/>
        <v>3.299669700008296E-2</v>
      </c>
      <c r="G45" s="210">
        <f t="shared" si="18"/>
        <v>0.10240644655076672</v>
      </c>
      <c r="H45" s="210">
        <f t="shared" si="18"/>
        <v>1.2296395879286742E-2</v>
      </c>
      <c r="I45" s="210">
        <f t="shared" si="18"/>
        <v>0.12731508194332938</v>
      </c>
      <c r="J45" s="210">
        <f t="shared" si="18"/>
        <v>1.4209344098771927E-2</v>
      </c>
      <c r="K45" s="210">
        <f t="shared" si="18"/>
        <v>0.21778757459700807</v>
      </c>
      <c r="L45" s="210">
        <f t="shared" si="18"/>
        <v>1.5289729755760841E-2</v>
      </c>
      <c r="M45" s="210">
        <f t="shared" si="18"/>
        <v>2.912521492358054E-3</v>
      </c>
      <c r="N45" s="210">
        <f t="shared" si="18"/>
        <v>0.11077857764168636</v>
      </c>
      <c r="O45" s="210">
        <f t="shared" si="18"/>
        <v>0.10062420491295372</v>
      </c>
      <c r="P45" s="210">
        <f t="shared" si="18"/>
        <v>2.6322904438202611E-2</v>
      </c>
      <c r="Q45" s="210">
        <f t="shared" si="18"/>
        <v>3.4192059721628275E-3</v>
      </c>
      <c r="R45" s="210">
        <f t="shared" si="18"/>
        <v>1.1838651747058259E-2</v>
      </c>
      <c r="S45" s="210">
        <f t="shared" si="18"/>
        <v>6.6766542669524809E-2</v>
      </c>
      <c r="T45" s="210">
        <f t="shared" si="18"/>
        <v>4.911161100793799E-2</v>
      </c>
      <c r="U45" s="210">
        <f t="shared" si="18"/>
        <v>0</v>
      </c>
      <c r="V45" s="210">
        <f t="shared" si="18"/>
        <v>0</v>
      </c>
      <c r="W45" s="210">
        <f t="shared" si="18"/>
        <v>0</v>
      </c>
      <c r="X45" s="210">
        <f t="shared" si="18"/>
        <v>0</v>
      </c>
      <c r="Y45" s="210">
        <f t="shared" si="18"/>
        <v>0</v>
      </c>
      <c r="Z45" s="210">
        <f t="shared" si="18"/>
        <v>0</v>
      </c>
      <c r="AA45" s="210">
        <f t="shared" si="18"/>
        <v>0</v>
      </c>
      <c r="AB45" s="210">
        <f t="shared" si="18"/>
        <v>0</v>
      </c>
      <c r="AC45" s="210">
        <f t="shared" si="18"/>
        <v>0</v>
      </c>
      <c r="AD45" s="210">
        <f t="shared" si="18"/>
        <v>0</v>
      </c>
      <c r="AE45" s="210">
        <f t="shared" si="18"/>
        <v>0</v>
      </c>
      <c r="AF45" s="210">
        <f t="shared" si="18"/>
        <v>0</v>
      </c>
      <c r="AG45" s="210">
        <f>AG44/$AK$44</f>
        <v>0</v>
      </c>
      <c r="AH45" s="210">
        <f>AH44/$AK$44</f>
        <v>0</v>
      </c>
      <c r="AI45" s="210">
        <f>AI44/$AK$44</f>
        <v>0</v>
      </c>
      <c r="AJ45" s="210">
        <f>AJ44/$AK$44</f>
        <v>0</v>
      </c>
      <c r="AK45" s="230">
        <f>SUM(B45:AJ45)</f>
        <v>1</v>
      </c>
      <c r="AL45" s="219"/>
      <c r="AM45" s="219"/>
      <c r="AN45" s="219"/>
      <c r="AO45" s="219"/>
      <c r="AP45" s="219"/>
      <c r="AQ45" s="219"/>
    </row>
    <row r="46" spans="1:43" s="179" customFormat="1" x14ac:dyDescent="0.2">
      <c r="A46" s="410" t="s">
        <v>57</v>
      </c>
      <c r="B46" s="212">
        <f>B45*$AM$44</f>
        <v>458.17876228805176</v>
      </c>
      <c r="C46" s="212">
        <f t="shared" ref="C46:AJ46" si="19">C45*$AM$44</f>
        <v>71478.731675133604</v>
      </c>
      <c r="D46" s="212">
        <f t="shared" si="19"/>
        <v>15185.954718391942</v>
      </c>
      <c r="E46" s="212">
        <f t="shared" si="19"/>
        <v>42766.959666600691</v>
      </c>
      <c r="F46" s="212">
        <f t="shared" si="19"/>
        <v>40462.166699654728</v>
      </c>
      <c r="G46" s="212">
        <f t="shared" si="19"/>
        <v>125575.80267643114</v>
      </c>
      <c r="H46" s="212">
        <f t="shared" si="19"/>
        <v>15078.443150579489</v>
      </c>
      <c r="I46" s="212">
        <f t="shared" si="19"/>
        <v>156119.99191792571</v>
      </c>
      <c r="J46" s="212">
        <f t="shared" si="19"/>
        <v>17424.193991774977</v>
      </c>
      <c r="K46" s="212">
        <f t="shared" si="19"/>
        <v>267061.79556200653</v>
      </c>
      <c r="L46" s="212">
        <f t="shared" si="19"/>
        <v>18749.015823271977</v>
      </c>
      <c r="M46" s="212">
        <f t="shared" si="19"/>
        <v>3571.4765674825712</v>
      </c>
      <c r="N46" s="212">
        <f t="shared" si="19"/>
        <v>135842.12005454025</v>
      </c>
      <c r="O46" s="212">
        <f t="shared" si="19"/>
        <v>123390.33065030459</v>
      </c>
      <c r="P46" s="212">
        <f t="shared" si="19"/>
        <v>32278.435244441513</v>
      </c>
      <c r="Q46" s="212">
        <f t="shared" si="19"/>
        <v>4192.797904158695</v>
      </c>
      <c r="R46" s="212">
        <f t="shared" si="19"/>
        <v>14517.134866178443</v>
      </c>
      <c r="S46" s="212">
        <f t="shared" si="19"/>
        <v>81872.406181962127</v>
      </c>
      <c r="T46" s="212">
        <f t="shared" si="19"/>
        <v>60223.063886872951</v>
      </c>
      <c r="U46" s="212">
        <f t="shared" si="19"/>
        <v>0</v>
      </c>
      <c r="V46" s="212">
        <f t="shared" si="19"/>
        <v>0</v>
      </c>
      <c r="W46" s="212">
        <f t="shared" si="19"/>
        <v>0</v>
      </c>
      <c r="X46" s="212">
        <f t="shared" si="19"/>
        <v>0</v>
      </c>
      <c r="Y46" s="212">
        <f t="shared" si="19"/>
        <v>0</v>
      </c>
      <c r="Z46" s="212">
        <f t="shared" si="19"/>
        <v>0</v>
      </c>
      <c r="AA46" s="212">
        <f t="shared" si="19"/>
        <v>0</v>
      </c>
      <c r="AB46" s="212">
        <f t="shared" si="19"/>
        <v>0</v>
      </c>
      <c r="AC46" s="212">
        <f t="shared" si="19"/>
        <v>0</v>
      </c>
      <c r="AD46" s="212">
        <f t="shared" si="19"/>
        <v>0</v>
      </c>
      <c r="AE46" s="212">
        <f t="shared" si="19"/>
        <v>0</v>
      </c>
      <c r="AF46" s="212">
        <f t="shared" si="19"/>
        <v>0</v>
      </c>
      <c r="AG46" s="212">
        <f t="shared" si="19"/>
        <v>0</v>
      </c>
      <c r="AH46" s="212">
        <f t="shared" si="19"/>
        <v>0</v>
      </c>
      <c r="AI46" s="212">
        <f t="shared" si="19"/>
        <v>0</v>
      </c>
      <c r="AJ46" s="212">
        <f t="shared" si="19"/>
        <v>0</v>
      </c>
      <c r="AK46" s="411">
        <f>SUM(B46:AJ46)</f>
        <v>1226249</v>
      </c>
      <c r="AL46" s="219"/>
      <c r="AM46" s="219"/>
      <c r="AN46" s="219"/>
      <c r="AO46" s="219"/>
      <c r="AP46" s="219"/>
      <c r="AQ46" s="219"/>
    </row>
    <row r="47" spans="1:43" s="450" customFormat="1" x14ac:dyDescent="0.2">
      <c r="A47" s="409" t="s">
        <v>123</v>
      </c>
      <c r="B47" s="210">
        <f>(B46-'Balance Volumetrico'!B44)/'Balance Volumetrico'!B44</f>
        <v>-1.0413040414575038E-2</v>
      </c>
      <c r="C47" s="210">
        <f>(C46-'Balance Volumetrico'!C44)/'Balance Volumetrico'!C44</f>
        <v>-6.1079051818236901E-3</v>
      </c>
      <c r="D47" s="210">
        <f>(D46-'Balance Volumetrico'!D44)/'Balance Volumetrico'!D44</f>
        <v>-3.8730916108926107E-3</v>
      </c>
      <c r="E47" s="210">
        <f>(E46-'Balance Volumetrico'!E44)/'Balance Volumetrico'!E44</f>
        <v>-4.2848905357106707E-3</v>
      </c>
      <c r="F47" s="210">
        <f>(F46-'Balance Volumetrico'!F44)/'Balance Volumetrico'!F44</f>
        <v>-2.0594131558997342E-5</v>
      </c>
      <c r="G47" s="210">
        <f>(G46-'Balance Volumetrico'!G44)/'Balance Volumetrico'!G44</f>
        <v>-5.7733052814129592E-3</v>
      </c>
      <c r="H47" s="210">
        <f>(H46-'Balance Volumetrico'!H44)/'Balance Volumetrico'!H44</f>
        <v>-4.460375638486125E-3</v>
      </c>
      <c r="I47" s="210">
        <f>(I46-'Balance Volumetrico'!I44)/'Balance Volumetrico'!I44</f>
        <v>-4.4510711912808974E-3</v>
      </c>
      <c r="J47" s="210">
        <f>(J46-'Balance Volumetrico'!J44)/'Balance Volumetrico'!J44</f>
        <v>-5.0708621152871069E-3</v>
      </c>
      <c r="K47" s="210">
        <f>(K46-'Balance Volumetrico'!K44)/'Balance Volumetrico'!K44</f>
        <v>-3.1734466466357119E-3</v>
      </c>
      <c r="L47" s="210">
        <f>(L46-'Balance Volumetrico'!L44)/'Balance Volumetrico'!L44</f>
        <v>-5.2517071693560678E-3</v>
      </c>
      <c r="M47" s="210">
        <f>(M46-'Balance Volumetrico'!M44)/'Balance Volumetrico'!M44</f>
        <v>-2.6594338222364626E-3</v>
      </c>
      <c r="N47" s="210">
        <f>(N46-'Balance Volumetrico'!N44)/'Balance Volumetrico'!N44</f>
        <v>-4.5935703013852709E-3</v>
      </c>
      <c r="O47" s="210">
        <f>(O46-'Balance Volumetrico'!O44)/'Balance Volumetrico'!O44</f>
        <v>-4.3064244996563247E-3</v>
      </c>
      <c r="P47" s="210">
        <f>(P46-'Balance Volumetrico'!P44)/'Balance Volumetrico'!P44</f>
        <v>-5.1950798396920321E-3</v>
      </c>
      <c r="Q47" s="210">
        <f>(Q46-'Balance Volumetrico'!Q44)/'Balance Volumetrico'!Q44</f>
        <v>-1.7147847241202336E-3</v>
      </c>
      <c r="R47" s="210">
        <f>(R46-'Balance Volumetrico'!R44)/'Balance Volumetrico'!R44</f>
        <v>-6.764171717402628E-3</v>
      </c>
      <c r="S47" s="210">
        <f>(S46-'Balance Volumetrico'!S44)/'Balance Volumetrico'!S44</f>
        <v>-4.0943670162375476E-3</v>
      </c>
      <c r="T47" s="210">
        <f>(T46-'Balance Volumetrico'!T44)/'Balance Volumetrico'!T44</f>
        <v>-6.777321521374953E-3</v>
      </c>
      <c r="U47" s="210" t="e">
        <f>(U46-'Balance Volumetrico'!U44)/'Balance Volumetrico'!U44</f>
        <v>#DIV/0!</v>
      </c>
      <c r="V47" s="210" t="e">
        <f>(V46-'Balance Volumetrico'!V44)/'Balance Volumetrico'!V44</f>
        <v>#DIV/0!</v>
      </c>
      <c r="W47" s="210" t="e">
        <f>(W46-'Balance Volumetrico'!W44)/'Balance Volumetrico'!W44</f>
        <v>#DIV/0!</v>
      </c>
      <c r="X47" s="210" t="e">
        <f>(X46-'Balance Volumetrico'!X44)/'Balance Volumetrico'!X44</f>
        <v>#DIV/0!</v>
      </c>
      <c r="Y47" s="210" t="e">
        <f>(Y46-'Balance Volumetrico'!Y44)/'Balance Volumetrico'!Y44</f>
        <v>#DIV/0!</v>
      </c>
      <c r="Z47" s="210" t="e">
        <f>(Z46-'Balance Volumetrico'!Z44)/'Balance Volumetrico'!Z44</f>
        <v>#DIV/0!</v>
      </c>
      <c r="AA47" s="210" t="e">
        <f>(AA46-'Balance Volumetrico'!AA44)/'Balance Volumetrico'!AA44</f>
        <v>#DIV/0!</v>
      </c>
      <c r="AB47" s="210" t="e">
        <f>(AB46-'Balance Volumetrico'!AB44)/'Balance Volumetrico'!AB44</f>
        <v>#DIV/0!</v>
      </c>
      <c r="AC47" s="210" t="e">
        <f>(AC46-'Balance Volumetrico'!AC44)/'Balance Volumetrico'!AC44</f>
        <v>#DIV/0!</v>
      </c>
      <c r="AD47" s="210" t="e">
        <f>(AD46-'Balance Volumetrico'!AD44)/'Balance Volumetrico'!AD44</f>
        <v>#DIV/0!</v>
      </c>
      <c r="AE47" s="210" t="e">
        <f>(AE46-'Balance Volumetrico'!AE44)/'Balance Volumetrico'!AE44</f>
        <v>#DIV/0!</v>
      </c>
      <c r="AF47" s="210" t="e">
        <f>(AF46-'Balance Volumetrico'!AF44)/'Balance Volumetrico'!AF44</f>
        <v>#DIV/0!</v>
      </c>
      <c r="AG47" s="210" t="e">
        <f>(AG46-'Balance Volumetrico'!AG44)/'Balance Volumetrico'!AG44</f>
        <v>#DIV/0!</v>
      </c>
      <c r="AH47" s="210" t="e">
        <f>(AH46-'Balance Volumetrico'!AH44)/'Balance Volumetrico'!AH44</f>
        <v>#DIV/0!</v>
      </c>
      <c r="AI47" s="210" t="e">
        <f>(AI46-'Balance Volumetrico'!AI44)/'Balance Volumetrico'!AI44</f>
        <v>#DIV/0!</v>
      </c>
      <c r="AJ47" s="210" t="e">
        <f>(AJ46-'Balance Volumetrico'!AJ44)/'Balance Volumetrico'!AJ44</f>
        <v>#DIV/0!</v>
      </c>
      <c r="AK47" s="210">
        <f>(AK46-'Balance Volumetrico'!AK44)/'Balance Volumetrico'!AK44</f>
        <v>-4.3948745678603386E-3</v>
      </c>
      <c r="AL47" s="230"/>
      <c r="AM47" s="230"/>
      <c r="AN47" s="230"/>
      <c r="AO47" s="230"/>
      <c r="AP47" s="230"/>
      <c r="AQ47" s="230"/>
    </row>
    <row r="48" spans="1:43" s="209" customFormat="1" ht="13.5" thickBot="1" x14ac:dyDescent="0.25">
      <c r="A48" s="788" t="s">
        <v>70</v>
      </c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89"/>
      <c r="O48" s="789"/>
      <c r="P48" s="789"/>
      <c r="Q48" s="789"/>
      <c r="R48" s="789"/>
      <c r="S48" s="789"/>
      <c r="T48" s="789"/>
      <c r="U48" s="789"/>
      <c r="V48" s="789"/>
      <c r="W48" s="789"/>
      <c r="X48" s="789"/>
      <c r="Y48" s="789"/>
      <c r="Z48" s="789"/>
      <c r="AA48" s="789"/>
      <c r="AB48" s="789"/>
      <c r="AC48" s="789"/>
      <c r="AD48" s="789"/>
      <c r="AE48" s="789"/>
      <c r="AF48" s="789"/>
      <c r="AG48" s="789"/>
      <c r="AH48" s="789"/>
      <c r="AI48" s="789"/>
      <c r="AJ48" s="789"/>
      <c r="AK48" s="789"/>
      <c r="AL48" s="789"/>
      <c r="AM48" s="789"/>
      <c r="AN48" s="789"/>
      <c r="AO48" s="789"/>
      <c r="AP48" s="789"/>
      <c r="AQ48" s="790"/>
    </row>
    <row r="49" spans="1:43" s="179" customFormat="1" x14ac:dyDescent="0.2">
      <c r="A49" s="416" t="s">
        <v>55</v>
      </c>
      <c r="B49" s="417">
        <f t="shared" ref="B49:U49" si="20">SUM(B25:B41)</f>
        <v>126</v>
      </c>
      <c r="C49" s="417">
        <f t="shared" si="20"/>
        <v>43184.297708002632</v>
      </c>
      <c r="D49" s="417">
        <f t="shared" si="20"/>
        <v>11974.36220914476</v>
      </c>
      <c r="E49" s="417">
        <f t="shared" si="20"/>
        <v>32113.494792674901</v>
      </c>
      <c r="F49" s="417">
        <f t="shared" si="20"/>
        <v>19688.953656742422</v>
      </c>
      <c r="G49" s="417">
        <f t="shared" si="20"/>
        <v>115633.7196562004</v>
      </c>
      <c r="H49" s="417">
        <f>SUM(H25:H41)</f>
        <v>16174.083975376514</v>
      </c>
      <c r="I49" s="417">
        <f t="shared" si="20"/>
        <v>135146.98805606103</v>
      </c>
      <c r="J49" s="417">
        <f t="shared" si="20"/>
        <v>7830.1963297069187</v>
      </c>
      <c r="K49" s="417">
        <f t="shared" si="20"/>
        <v>245176.33115877502</v>
      </c>
      <c r="L49" s="417">
        <f t="shared" si="20"/>
        <v>19220.372798017732</v>
      </c>
      <c r="M49" s="417">
        <f t="shared" si="20"/>
        <v>3879.9092105772584</v>
      </c>
      <c r="N49" s="417">
        <f t="shared" si="20"/>
        <v>173137.70300824655</v>
      </c>
      <c r="O49" s="417">
        <f t="shared" si="20"/>
        <v>97044.290700375539</v>
      </c>
      <c r="P49" s="417">
        <f t="shared" si="20"/>
        <v>33020.519764605677</v>
      </c>
      <c r="Q49" s="417">
        <f t="shared" si="20"/>
        <v>2981.1847922877387</v>
      </c>
      <c r="R49" s="417">
        <f t="shared" si="20"/>
        <v>12653.832417050602</v>
      </c>
      <c r="S49" s="417">
        <f t="shared" si="20"/>
        <v>95371.779627550422</v>
      </c>
      <c r="T49" s="417">
        <f t="shared" si="20"/>
        <v>40902.980138603896</v>
      </c>
      <c r="U49" s="417">
        <f t="shared" si="20"/>
        <v>0</v>
      </c>
      <c r="V49" s="417">
        <f t="shared" ref="V49:AO49" si="21">SUM(V25:V41)</f>
        <v>0</v>
      </c>
      <c r="W49" s="417">
        <f>SUM(W25:W41)</f>
        <v>0</v>
      </c>
      <c r="X49" s="417">
        <f t="shared" si="21"/>
        <v>0</v>
      </c>
      <c r="Y49" s="417">
        <f t="shared" si="21"/>
        <v>0</v>
      </c>
      <c r="Z49" s="417">
        <f>SUM(Z25:Z41)</f>
        <v>0</v>
      </c>
      <c r="AA49" s="417">
        <f t="shared" si="21"/>
        <v>0</v>
      </c>
      <c r="AB49" s="417">
        <f t="shared" si="21"/>
        <v>0</v>
      </c>
      <c r="AC49" s="417">
        <f t="shared" ref="AC49:AH49" si="22">SUM(AC25:AC41)</f>
        <v>0</v>
      </c>
      <c r="AD49" s="417">
        <f t="shared" si="22"/>
        <v>0</v>
      </c>
      <c r="AE49" s="417">
        <f t="shared" si="22"/>
        <v>0</v>
      </c>
      <c r="AF49" s="417">
        <f t="shared" si="22"/>
        <v>0</v>
      </c>
      <c r="AG49" s="417">
        <f t="shared" si="22"/>
        <v>0</v>
      </c>
      <c r="AH49" s="417">
        <f t="shared" si="22"/>
        <v>0</v>
      </c>
      <c r="AI49" s="417">
        <f t="shared" ref="AI49:AJ49" si="23">SUM(AI25:AI41)</f>
        <v>0</v>
      </c>
      <c r="AJ49" s="417">
        <f t="shared" si="23"/>
        <v>0</v>
      </c>
      <c r="AK49" s="417">
        <f t="shared" si="21"/>
        <v>1105261</v>
      </c>
      <c r="AL49" s="417">
        <f t="shared" si="21"/>
        <v>1105260.9999999995</v>
      </c>
      <c r="AM49" s="417">
        <f t="shared" si="21"/>
        <v>1105261</v>
      </c>
      <c r="AN49" s="417">
        <f t="shared" si="21"/>
        <v>1105260.9999999995</v>
      </c>
      <c r="AO49" s="417">
        <f t="shared" si="21"/>
        <v>0</v>
      </c>
      <c r="AP49" s="418">
        <f>(AK49-AO49)/AK49</f>
        <v>1</v>
      </c>
      <c r="AQ49" s="133" t="e">
        <f>(AO49-AN49)/AO49</f>
        <v>#DIV/0!</v>
      </c>
    </row>
    <row r="50" spans="1:43" s="179" customFormat="1" x14ac:dyDescent="0.2">
      <c r="A50" s="242" t="s">
        <v>56</v>
      </c>
      <c r="B50" s="210">
        <f t="shared" ref="B50:AF50" si="24">B49/$AK$49</f>
        <v>1.1400022257186311E-4</v>
      </c>
      <c r="C50" s="210">
        <f t="shared" si="24"/>
        <v>3.907158373271348E-2</v>
      </c>
      <c r="D50" s="210">
        <f t="shared" si="24"/>
        <v>1.0833967912687373E-2</v>
      </c>
      <c r="E50" s="210">
        <f t="shared" si="24"/>
        <v>2.9055123443851635E-2</v>
      </c>
      <c r="F50" s="210">
        <f t="shared" si="24"/>
        <v>1.7813849992664558E-2</v>
      </c>
      <c r="G50" s="210">
        <f t="shared" si="24"/>
        <v>0.10462118871126404</v>
      </c>
      <c r="H50" s="210">
        <f t="shared" si="24"/>
        <v>1.4633723595943867E-2</v>
      </c>
      <c r="I50" s="210">
        <f t="shared" si="24"/>
        <v>0.12227608506593558</v>
      </c>
      <c r="J50" s="210">
        <f t="shared" si="24"/>
        <v>7.0844771775236065E-3</v>
      </c>
      <c r="K50" s="210">
        <f t="shared" si="24"/>
        <v>0.22182663747185055</v>
      </c>
      <c r="L50" s="210">
        <f t="shared" si="24"/>
        <v>1.7389895054668293E-2</v>
      </c>
      <c r="M50" s="210">
        <f t="shared" si="24"/>
        <v>3.5104009013049936E-3</v>
      </c>
      <c r="N50" s="210">
        <f t="shared" si="24"/>
        <v>0.15664870379778761</v>
      </c>
      <c r="O50" s="210">
        <f t="shared" si="24"/>
        <v>8.7802148723582524E-2</v>
      </c>
      <c r="P50" s="210">
        <f t="shared" si="24"/>
        <v>2.9875766687330572E-2</v>
      </c>
      <c r="Q50" s="210">
        <f t="shared" si="24"/>
        <v>2.6972676972115534E-3</v>
      </c>
      <c r="R50" s="210">
        <f t="shared" si="24"/>
        <v>1.1448727872466867E-2</v>
      </c>
      <c r="S50" s="210">
        <f t="shared" si="24"/>
        <v>8.6288921465201812E-2</v>
      </c>
      <c r="T50" s="210">
        <f t="shared" si="24"/>
        <v>3.7007530473439208E-2</v>
      </c>
      <c r="U50" s="210">
        <f t="shared" si="24"/>
        <v>0</v>
      </c>
      <c r="V50" s="210">
        <f t="shared" si="24"/>
        <v>0</v>
      </c>
      <c r="W50" s="210">
        <f t="shared" si="24"/>
        <v>0</v>
      </c>
      <c r="X50" s="210">
        <f t="shared" si="24"/>
        <v>0</v>
      </c>
      <c r="Y50" s="210">
        <f t="shared" si="24"/>
        <v>0</v>
      </c>
      <c r="Z50" s="210">
        <f t="shared" si="24"/>
        <v>0</v>
      </c>
      <c r="AA50" s="210">
        <f t="shared" si="24"/>
        <v>0</v>
      </c>
      <c r="AB50" s="210">
        <f t="shared" si="24"/>
        <v>0</v>
      </c>
      <c r="AC50" s="210">
        <f t="shared" si="24"/>
        <v>0</v>
      </c>
      <c r="AD50" s="210">
        <f t="shared" si="24"/>
        <v>0</v>
      </c>
      <c r="AE50" s="210">
        <f t="shared" si="24"/>
        <v>0</v>
      </c>
      <c r="AF50" s="210">
        <f t="shared" si="24"/>
        <v>0</v>
      </c>
      <c r="AG50" s="210">
        <f>AG49/$AK$49</f>
        <v>0</v>
      </c>
      <c r="AH50" s="210">
        <f>AH49/$AK$49</f>
        <v>0</v>
      </c>
      <c r="AI50" s="210">
        <f>AI49/$AK$49</f>
        <v>0</v>
      </c>
      <c r="AJ50" s="210">
        <f>AJ49/$AK$49</f>
        <v>0</v>
      </c>
      <c r="AK50" s="230">
        <f>SUM(B50:AJ50)</f>
        <v>1</v>
      </c>
      <c r="AL50" s="219"/>
      <c r="AM50" s="219"/>
      <c r="AN50" s="219"/>
      <c r="AO50" s="219"/>
      <c r="AP50" s="219"/>
      <c r="AQ50" s="222"/>
    </row>
    <row r="51" spans="1:43" s="179" customFormat="1" x14ac:dyDescent="0.2">
      <c r="A51" s="407" t="s">
        <v>57</v>
      </c>
      <c r="B51" s="212">
        <f>B50*$AM$49</f>
        <v>126</v>
      </c>
      <c r="C51" s="212">
        <f t="shared" ref="C51:AJ51" si="25">C50*$AM$49</f>
        <v>43184.297708002632</v>
      </c>
      <c r="D51" s="212">
        <f t="shared" si="25"/>
        <v>11974.36220914476</v>
      </c>
      <c r="E51" s="212">
        <f t="shared" si="25"/>
        <v>32113.494792674901</v>
      </c>
      <c r="F51" s="212">
        <f t="shared" si="25"/>
        <v>19688.953656742422</v>
      </c>
      <c r="G51" s="212">
        <f t="shared" si="25"/>
        <v>115633.7196562004</v>
      </c>
      <c r="H51" s="212">
        <f t="shared" si="25"/>
        <v>16174.083975376514</v>
      </c>
      <c r="I51" s="212">
        <f t="shared" si="25"/>
        <v>135146.98805606103</v>
      </c>
      <c r="J51" s="212">
        <f t="shared" si="25"/>
        <v>7830.1963297069187</v>
      </c>
      <c r="K51" s="212">
        <f t="shared" si="25"/>
        <v>245176.33115877502</v>
      </c>
      <c r="L51" s="212">
        <f t="shared" si="25"/>
        <v>19220.372798017732</v>
      </c>
      <c r="M51" s="212">
        <f t="shared" si="25"/>
        <v>3879.9092105772584</v>
      </c>
      <c r="N51" s="212">
        <f t="shared" si="25"/>
        <v>173137.70300824655</v>
      </c>
      <c r="O51" s="212">
        <f t="shared" si="25"/>
        <v>97044.290700375539</v>
      </c>
      <c r="P51" s="212">
        <f t="shared" si="25"/>
        <v>33020.519764605677</v>
      </c>
      <c r="Q51" s="212">
        <f t="shared" si="25"/>
        <v>2981.1847922877387</v>
      </c>
      <c r="R51" s="212">
        <f t="shared" si="25"/>
        <v>12653.832417050602</v>
      </c>
      <c r="S51" s="212">
        <f t="shared" si="25"/>
        <v>95371.779627550422</v>
      </c>
      <c r="T51" s="212">
        <f t="shared" si="25"/>
        <v>40902.980138603896</v>
      </c>
      <c r="U51" s="212">
        <f t="shared" si="25"/>
        <v>0</v>
      </c>
      <c r="V51" s="212">
        <f t="shared" si="25"/>
        <v>0</v>
      </c>
      <c r="W51" s="212">
        <f t="shared" si="25"/>
        <v>0</v>
      </c>
      <c r="X51" s="212">
        <f t="shared" si="25"/>
        <v>0</v>
      </c>
      <c r="Y51" s="212">
        <f t="shared" si="25"/>
        <v>0</v>
      </c>
      <c r="Z51" s="212">
        <f t="shared" si="25"/>
        <v>0</v>
      </c>
      <c r="AA51" s="212">
        <f t="shared" si="25"/>
        <v>0</v>
      </c>
      <c r="AB51" s="212">
        <f t="shared" si="25"/>
        <v>0</v>
      </c>
      <c r="AC51" s="212">
        <f t="shared" si="25"/>
        <v>0</v>
      </c>
      <c r="AD51" s="212">
        <f t="shared" si="25"/>
        <v>0</v>
      </c>
      <c r="AE51" s="212">
        <f t="shared" si="25"/>
        <v>0</v>
      </c>
      <c r="AF51" s="212">
        <f t="shared" si="25"/>
        <v>0</v>
      </c>
      <c r="AG51" s="212">
        <f t="shared" si="25"/>
        <v>0</v>
      </c>
      <c r="AH51" s="212">
        <f t="shared" si="25"/>
        <v>0</v>
      </c>
      <c r="AI51" s="212">
        <f t="shared" si="25"/>
        <v>0</v>
      </c>
      <c r="AJ51" s="212">
        <f t="shared" si="25"/>
        <v>0</v>
      </c>
      <c r="AK51" s="415">
        <f>SUM(B51:AJ51)</f>
        <v>1105261</v>
      </c>
      <c r="AL51" s="219"/>
      <c r="AM51" s="219"/>
      <c r="AN51" s="219"/>
      <c r="AO51" s="219"/>
      <c r="AP51" s="219"/>
      <c r="AQ51" s="222"/>
    </row>
    <row r="52" spans="1:43" s="192" customFormat="1" ht="13.5" thickBot="1" x14ac:dyDescent="0.25">
      <c r="A52" s="446" t="s">
        <v>123</v>
      </c>
      <c r="B52" s="447">
        <f>(B51-'Balance Volumetrico'!B50)/'Balance Volumetrico'!B50</f>
        <v>0</v>
      </c>
      <c r="C52" s="447">
        <f>(C51-'Balance Volumetrico'!C50)/'Balance Volumetrico'!C50</f>
        <v>2.234907816622543E-3</v>
      </c>
      <c r="D52" s="447">
        <f>(D51-'Balance Volumetrico'!D50)/'Balance Volumetrico'!D50</f>
        <v>1.1377341892254385E-4</v>
      </c>
      <c r="E52" s="447">
        <f>(E51-'Balance Volumetrico'!E50)/'Balance Volumetrico'!E50</f>
        <v>5.2745278658601026E-3</v>
      </c>
      <c r="F52" s="447">
        <f>(F51-'Balance Volumetrico'!F50)/'Balance Volumetrico'!F50</f>
        <v>4.6409662589255041E-3</v>
      </c>
      <c r="G52" s="447">
        <f>(G51-'Balance Volumetrico'!G50)/'Balance Volumetrico'!G50</f>
        <v>8.3866999459361966E-3</v>
      </c>
      <c r="H52" s="447">
        <f>(H51-'Balance Volumetrico'!H50)/'Balance Volumetrico'!H50</f>
        <v>7.4800034493904318E-3</v>
      </c>
      <c r="I52" s="447">
        <f>(I51-'Balance Volumetrico'!I50)/'Balance Volumetrico'!I50</f>
        <v>5.947152589253526E-3</v>
      </c>
      <c r="J52" s="447">
        <f>(J51-'Balance Volumetrico'!J50)/'Balance Volumetrico'!J50</f>
        <v>3.3567823817169055E-3</v>
      </c>
      <c r="K52" s="447">
        <f>(K51-'Balance Volumetrico'!K50)/'Balance Volumetrico'!K50</f>
        <v>3.6240842224028774E-3</v>
      </c>
      <c r="L52" s="447">
        <f>(L51-'Balance Volumetrico'!L50)/'Balance Volumetrico'!L50</f>
        <v>4.776663600696944E-3</v>
      </c>
      <c r="M52" s="447">
        <f>(M51-'Balance Volumetrico'!M50)/'Balance Volumetrico'!M50</f>
        <v>5.1578265744192655E-3</v>
      </c>
      <c r="N52" s="447">
        <f>(N51-'Balance Volumetrico'!N50)/'Balance Volumetrico'!N50</f>
        <v>6.1465772213304855E-3</v>
      </c>
      <c r="O52" s="447">
        <f>(O51-'Balance Volumetrico'!O50)/'Balance Volumetrico'!O50</f>
        <v>3.7576224943426219E-3</v>
      </c>
      <c r="P52" s="447">
        <f>(P51-'Balance Volumetrico'!P50)/'Balance Volumetrico'!P50</f>
        <v>7.4311324420162311E-4</v>
      </c>
      <c r="Q52" s="447">
        <f>(Q51-'Balance Volumetrico'!Q50)/'Balance Volumetrico'!Q50</f>
        <v>5.7978381537579868E-3</v>
      </c>
      <c r="R52" s="447">
        <f>(R51-'Balance Volumetrico'!R50)/'Balance Volumetrico'!R50</f>
        <v>4.7508668453709775E-3</v>
      </c>
      <c r="S52" s="447">
        <f>(S51-'Balance Volumetrico'!S50)/'Balance Volumetrico'!S50</f>
        <v>6.2331018616644945E-3</v>
      </c>
      <c r="T52" s="447">
        <f>(T51-'Balance Volumetrico'!T50)/'Balance Volumetrico'!T50</f>
        <v>9.5389924148140651E-4</v>
      </c>
      <c r="U52" s="447" t="e">
        <f>(U51-'Balance Volumetrico'!U50)/'Balance Volumetrico'!U50</f>
        <v>#DIV/0!</v>
      </c>
      <c r="V52" s="447" t="e">
        <f>(V51-'Balance Volumetrico'!V50)/'Balance Volumetrico'!V50</f>
        <v>#DIV/0!</v>
      </c>
      <c r="W52" s="447" t="e">
        <f>(W51-'Balance Volumetrico'!W50)/'Balance Volumetrico'!W50</f>
        <v>#DIV/0!</v>
      </c>
      <c r="X52" s="447" t="e">
        <f>(X51-'Balance Volumetrico'!X50)/'Balance Volumetrico'!X50</f>
        <v>#DIV/0!</v>
      </c>
      <c r="Y52" s="447" t="e">
        <f>(Y51-'Balance Volumetrico'!Y50)/'Balance Volumetrico'!Y50</f>
        <v>#DIV/0!</v>
      </c>
      <c r="Z52" s="447" t="e">
        <f>(Z51-'Balance Volumetrico'!Z50)/'Balance Volumetrico'!Z50</f>
        <v>#DIV/0!</v>
      </c>
      <c r="AA52" s="447" t="e">
        <f>(AA51-'Balance Volumetrico'!AA50)/'Balance Volumetrico'!AA50</f>
        <v>#DIV/0!</v>
      </c>
      <c r="AB52" s="447" t="e">
        <f>(AB51-'Balance Volumetrico'!AB50)/'Balance Volumetrico'!AB50</f>
        <v>#DIV/0!</v>
      </c>
      <c r="AC52" s="447" t="e">
        <f>(AC51-'Balance Volumetrico'!AC50)/'Balance Volumetrico'!AC50</f>
        <v>#DIV/0!</v>
      </c>
      <c r="AD52" s="447" t="e">
        <f>(AD51-'Balance Volumetrico'!AD50)/'Balance Volumetrico'!AD50</f>
        <v>#DIV/0!</v>
      </c>
      <c r="AE52" s="447" t="e">
        <f>(AE51-'Balance Volumetrico'!AE50)/'Balance Volumetrico'!AE50</f>
        <v>#DIV/0!</v>
      </c>
      <c r="AF52" s="447" t="e">
        <f>(AF51-'Balance Volumetrico'!AF50)/'Balance Volumetrico'!AF50</f>
        <v>#DIV/0!</v>
      </c>
      <c r="AG52" s="447" t="e">
        <f>(AG51-'Balance Volumetrico'!AG50)/'Balance Volumetrico'!AG50</f>
        <v>#DIV/0!</v>
      </c>
      <c r="AH52" s="447" t="e">
        <f>(AH51-'Balance Volumetrico'!AH50)/'Balance Volumetrico'!AH50</f>
        <v>#DIV/0!</v>
      </c>
      <c r="AI52" s="447" t="e">
        <f>(AI51-'Balance Volumetrico'!AI50)/'Balance Volumetrico'!AI50</f>
        <v>#DIV/0!</v>
      </c>
      <c r="AJ52" s="447" t="e">
        <f>(AJ51-'Balance Volumetrico'!AJ50)/'Balance Volumetrico'!AJ50</f>
        <v>#DIV/0!</v>
      </c>
      <c r="AK52" s="447">
        <f>(AK51-'Balance Volumetrico'!AK50)/'Balance Volumetrico'!AK50</f>
        <v>4.9215891650482612E-3</v>
      </c>
      <c r="AL52" s="448"/>
      <c r="AM52" s="448"/>
      <c r="AN52" s="448"/>
      <c r="AO52" s="448"/>
      <c r="AP52" s="448"/>
      <c r="AQ52" s="449"/>
    </row>
  </sheetData>
  <mergeCells count="11">
    <mergeCell ref="B10:AO10"/>
    <mergeCell ref="A43:AQ43"/>
    <mergeCell ref="A48:AQ48"/>
    <mergeCell ref="A1:AQ1"/>
    <mergeCell ref="A2:AQ2"/>
    <mergeCell ref="A3:AQ3"/>
    <mergeCell ref="AK9:AL9"/>
    <mergeCell ref="AM9:AN9"/>
    <mergeCell ref="A6:AQ6"/>
    <mergeCell ref="A7:AQ7"/>
    <mergeCell ref="AP9:AQ9"/>
  </mergeCells>
  <phoneticPr fontId="2" type="noConversion"/>
  <printOptions verticalCentered="1"/>
  <pageMargins left="0.75" right="0.75" top="1" bottom="1" header="0" footer="0"/>
  <pageSetup scale="85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311" r:id="rId4">
          <objectPr defaultSize="0" autoPict="0" r:id="rId5">
            <anchor moveWithCells="1">
              <from>
                <xdr:col>0</xdr:col>
                <xdr:colOff>371475</xdr:colOff>
                <xdr:row>1</xdr:row>
                <xdr:rowOff>38100</xdr:rowOff>
              </from>
              <to>
                <xdr:col>0</xdr:col>
                <xdr:colOff>1171575</xdr:colOff>
                <xdr:row>6</xdr:row>
                <xdr:rowOff>19050</xdr:rowOff>
              </to>
            </anchor>
          </objectPr>
        </oleObject>
      </mc:Choice>
      <mc:Fallback>
        <oleObject progId="Word.Document.8" shapeId="5311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AS50"/>
  <sheetViews>
    <sheetView zoomScale="85" zoomScaleNormal="85" workbookViewId="0">
      <pane xSplit="1" ySplit="10" topLeftCell="B11" activePane="bottomRight" state="frozen"/>
      <selection activeCell="O17" sqref="O17"/>
      <selection pane="topRight" activeCell="O17" sqref="O17"/>
      <selection pane="bottomLeft" activeCell="O17" sqref="O17"/>
      <selection pane="bottomRight" activeCell="B11" sqref="B11"/>
    </sheetView>
  </sheetViews>
  <sheetFormatPr baseColWidth="10" defaultRowHeight="12.75" x14ac:dyDescent="0.2"/>
  <cols>
    <col min="1" max="1" width="11.42578125" style="1"/>
    <col min="2" max="2" width="12.28515625" style="1" bestFit="1" customWidth="1"/>
    <col min="3" max="4" width="11.42578125" style="1"/>
    <col min="5" max="7" width="11.42578125" style="1" customWidth="1"/>
    <col min="8" max="8" width="17.7109375" style="1" customWidth="1"/>
    <col min="9" max="9" width="19.42578125" style="1" customWidth="1"/>
    <col min="10" max="13" width="11.42578125" style="1" customWidth="1"/>
    <col min="14" max="14" width="16.7109375" style="1" customWidth="1"/>
    <col min="15" max="15" width="14.5703125" style="1" customWidth="1"/>
    <col min="16" max="17" width="11.42578125" style="1" customWidth="1"/>
    <col min="18" max="18" width="12.28515625" style="1" customWidth="1"/>
    <col min="19" max="19" width="15.42578125" style="1" customWidth="1"/>
    <col min="20" max="20" width="12.7109375" style="1" customWidth="1"/>
    <col min="21" max="21" width="10.7109375" style="1" hidden="1" customWidth="1"/>
    <col min="22" max="23" width="11.7109375" style="1" hidden="1" customWidth="1"/>
    <col min="24" max="28" width="16.5703125" style="1" hidden="1" customWidth="1"/>
    <col min="29" max="29" width="12.42578125" style="1" hidden="1" customWidth="1"/>
    <col min="30" max="30" width="15" style="1" hidden="1" customWidth="1"/>
    <col min="31" max="31" width="11.5703125" style="1" hidden="1" customWidth="1"/>
    <col min="32" max="32" width="16.5703125" style="1" hidden="1" customWidth="1"/>
    <col min="33" max="33" width="12.5703125" style="1" hidden="1" customWidth="1"/>
    <col min="34" max="36" width="13.5703125" style="1" hidden="1" customWidth="1"/>
    <col min="37" max="37" width="15.5703125" style="1" customWidth="1"/>
    <col min="38" max="38" width="13.42578125" style="1" customWidth="1"/>
    <col min="39" max="44" width="11.42578125" style="1"/>
    <col min="45" max="45" width="12.28515625" style="1" bestFit="1" customWidth="1"/>
    <col min="46" max="16384" width="11.42578125" style="1"/>
  </cols>
  <sheetData>
    <row r="1" spans="1:45" s="169" customFormat="1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776"/>
      <c r="AC1" s="776"/>
      <c r="AD1" s="776"/>
      <c r="AE1" s="776"/>
      <c r="AF1" s="776"/>
      <c r="AG1" s="776"/>
      <c r="AH1" s="776"/>
      <c r="AI1" s="776"/>
      <c r="AJ1" s="776"/>
      <c r="AK1" s="776"/>
      <c r="AL1" s="776"/>
      <c r="AM1" s="776"/>
      <c r="AN1" s="776"/>
      <c r="AO1" s="776"/>
      <c r="AP1" s="776"/>
      <c r="AQ1" s="776"/>
      <c r="AR1" s="776"/>
    </row>
    <row r="2" spans="1:45" s="169" customFormat="1" x14ac:dyDescent="0.2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  <c r="AL2" s="775"/>
      <c r="AM2" s="775"/>
      <c r="AN2" s="775"/>
      <c r="AO2" s="775"/>
      <c r="AP2" s="775"/>
      <c r="AQ2" s="775"/>
      <c r="AR2" s="775"/>
    </row>
    <row r="3" spans="1:45" s="169" customFormat="1" x14ac:dyDescent="0.2">
      <c r="A3" s="775" t="s">
        <v>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  <c r="AL3" s="775"/>
      <c r="AM3" s="775"/>
      <c r="AN3" s="775"/>
      <c r="AO3" s="775"/>
      <c r="AP3" s="775"/>
      <c r="AQ3" s="775"/>
      <c r="AR3" s="775"/>
    </row>
    <row r="4" spans="1:45" s="169" customFormat="1" x14ac:dyDescent="0.2">
      <c r="A4" s="775"/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5"/>
      <c r="AO4" s="775"/>
      <c r="AP4" s="775"/>
      <c r="AQ4" s="775"/>
      <c r="AR4" s="775"/>
    </row>
    <row r="5" spans="1:45" s="169" customFormat="1" x14ac:dyDescent="0.2">
      <c r="A5" s="166"/>
      <c r="B5" s="166"/>
      <c r="C5" s="166"/>
      <c r="D5" s="166"/>
      <c r="E5" s="166"/>
      <c r="F5" s="166"/>
      <c r="G5" s="166"/>
      <c r="H5" s="166"/>
      <c r="I5" s="167"/>
      <c r="J5" s="168"/>
    </row>
    <row r="6" spans="1:45" s="169" customFormat="1" x14ac:dyDescent="0.2">
      <c r="A6" s="794" t="s">
        <v>1</v>
      </c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  <c r="AF6" s="794"/>
      <c r="AG6" s="794"/>
      <c r="AH6" s="794"/>
      <c r="AI6" s="794"/>
      <c r="AJ6" s="794"/>
      <c r="AK6" s="794"/>
      <c r="AL6" s="794"/>
      <c r="AM6" s="794"/>
      <c r="AN6" s="794"/>
      <c r="AO6" s="794"/>
      <c r="AP6" s="794"/>
      <c r="AQ6" s="794"/>
      <c r="AR6" s="794"/>
    </row>
    <row r="7" spans="1:45" s="169" customFormat="1" x14ac:dyDescent="0.2">
      <c r="A7" s="795" t="str">
        <f>'Balance Volumetrico'!A7</f>
        <v>Sistema Tizayuca</v>
      </c>
      <c r="B7" s="795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5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95"/>
      <c r="AH7" s="795"/>
      <c r="AI7" s="795"/>
      <c r="AJ7" s="795"/>
      <c r="AK7" s="795"/>
      <c r="AL7" s="795"/>
      <c r="AM7" s="795"/>
      <c r="AN7" s="795"/>
      <c r="AO7" s="795"/>
      <c r="AP7" s="795"/>
      <c r="AQ7" s="795"/>
      <c r="AR7" s="795"/>
    </row>
    <row r="8" spans="1:45" s="169" customFormat="1" x14ac:dyDescent="0.2">
      <c r="A8" s="170"/>
      <c r="B8" s="170"/>
      <c r="C8" s="170"/>
      <c r="D8" s="170"/>
      <c r="E8" s="170"/>
      <c r="F8" s="171"/>
      <c r="G8" s="170"/>
      <c r="H8" s="170"/>
      <c r="I8" s="171"/>
      <c r="J8" s="170"/>
    </row>
    <row r="9" spans="1:45" s="3" customFormat="1" ht="24" x14ac:dyDescent="0.2">
      <c r="A9" s="2" t="s">
        <v>44</v>
      </c>
      <c r="B9" s="692" t="s">
        <v>245</v>
      </c>
      <c r="C9" s="692" t="s">
        <v>246</v>
      </c>
      <c r="D9" s="692" t="s">
        <v>247</v>
      </c>
      <c r="E9" s="692" t="s">
        <v>248</v>
      </c>
      <c r="F9" s="692" t="s">
        <v>249</v>
      </c>
      <c r="G9" s="692" t="s">
        <v>250</v>
      </c>
      <c r="H9" s="692" t="s">
        <v>251</v>
      </c>
      <c r="I9" s="692" t="s">
        <v>252</v>
      </c>
      <c r="J9" s="692" t="s">
        <v>253</v>
      </c>
      <c r="K9" s="692" t="s">
        <v>254</v>
      </c>
      <c r="L9" s="692" t="s">
        <v>255</v>
      </c>
      <c r="M9" s="692" t="s">
        <v>256</v>
      </c>
      <c r="N9" s="692" t="s">
        <v>257</v>
      </c>
      <c r="O9" s="692" t="s">
        <v>258</v>
      </c>
      <c r="P9" s="692" t="s">
        <v>259</v>
      </c>
      <c r="Q9" s="692" t="s">
        <v>260</v>
      </c>
      <c r="R9" s="692" t="s">
        <v>261</v>
      </c>
      <c r="S9" s="692" t="s">
        <v>262</v>
      </c>
      <c r="T9" s="692" t="s">
        <v>263</v>
      </c>
      <c r="U9" s="420" t="s">
        <v>219</v>
      </c>
      <c r="V9" s="420" t="s">
        <v>220</v>
      </c>
      <c r="W9" s="420" t="s">
        <v>221</v>
      </c>
      <c r="X9" s="420" t="s">
        <v>222</v>
      </c>
      <c r="Y9" s="420" t="s">
        <v>223</v>
      </c>
      <c r="Z9" s="420" t="s">
        <v>224</v>
      </c>
      <c r="AA9" s="420" t="s">
        <v>225</v>
      </c>
      <c r="AB9" s="420" t="s">
        <v>226</v>
      </c>
      <c r="AC9" s="420" t="s">
        <v>227</v>
      </c>
      <c r="AD9" s="420" t="s">
        <v>228</v>
      </c>
      <c r="AE9" s="420" t="s">
        <v>229</v>
      </c>
      <c r="AF9" s="420" t="s">
        <v>230</v>
      </c>
      <c r="AG9" s="420" t="s">
        <v>231</v>
      </c>
      <c r="AH9" s="420" t="s">
        <v>232</v>
      </c>
      <c r="AI9" s="420" t="s">
        <v>233</v>
      </c>
      <c r="AJ9" s="420" t="s">
        <v>234</v>
      </c>
      <c r="AK9" s="801" t="s">
        <v>53</v>
      </c>
      <c r="AL9" s="801"/>
      <c r="AM9" s="793" t="s">
        <v>54</v>
      </c>
      <c r="AN9" s="793"/>
      <c r="AO9" s="421" t="s">
        <v>50</v>
      </c>
      <c r="AP9" s="796" t="s">
        <v>71</v>
      </c>
      <c r="AQ9" s="797"/>
      <c r="AR9" s="802" t="s">
        <v>65</v>
      </c>
    </row>
    <row r="10" spans="1:45" x14ac:dyDescent="0.2">
      <c r="A10" s="2"/>
      <c r="B10" s="803" t="s">
        <v>62</v>
      </c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  <c r="Z10" s="804"/>
      <c r="AA10" s="804"/>
      <c r="AB10" s="804"/>
      <c r="AC10" s="804"/>
      <c r="AD10" s="804"/>
      <c r="AE10" s="804"/>
      <c r="AF10" s="804"/>
      <c r="AG10" s="804"/>
      <c r="AH10" s="804"/>
      <c r="AI10" s="804"/>
      <c r="AJ10" s="804"/>
      <c r="AK10" s="804"/>
      <c r="AL10" s="804"/>
      <c r="AM10" s="804"/>
      <c r="AN10" s="804"/>
      <c r="AO10" s="805"/>
      <c r="AP10" s="424" t="s">
        <v>52</v>
      </c>
      <c r="AQ10" s="425" t="s">
        <v>72</v>
      </c>
      <c r="AR10" s="802"/>
    </row>
    <row r="11" spans="1:45" x14ac:dyDescent="0.2">
      <c r="A11" s="296">
        <f>'Ajuste de Volumen'!A11</f>
        <v>20130301</v>
      </c>
      <c r="B11" s="4">
        <f>'Ajuste de Volumen'!B11*AR11/1000000</f>
        <v>2.7508131556376614</v>
      </c>
      <c r="C11" s="4">
        <f>'Ajuste de Volumen'!C11*AR11/1000000</f>
        <v>250.62964306920912</v>
      </c>
      <c r="D11" s="4">
        <f>'Ajuste de Volumen'!D11*AR11/1000000</f>
        <v>33.688970992500742</v>
      </c>
      <c r="E11" s="4">
        <f>'Ajuste de Volumen'!E11*AR11/1000000</f>
        <v>105.00634910162529</v>
      </c>
      <c r="F11" s="4">
        <f>'Ajuste de Volumen'!F11*AR11/1000000</f>
        <v>0.47544918739416375</v>
      </c>
      <c r="G11" s="4">
        <f>'Ajuste de Volumen'!G11*AR11/1000000</f>
        <v>416.05199962613568</v>
      </c>
      <c r="H11" s="4">
        <f>'Ajuste de Volumen'!H11*AR11/1000000</f>
        <v>38.545344835169701</v>
      </c>
      <c r="I11" s="4">
        <f>'Ajuste de Volumen'!I11*AR11/1000000</f>
        <v>398.25661575509696</v>
      </c>
      <c r="J11" s="4">
        <f>'Ajuste de Volumen'!J11*AR11/1000000</f>
        <v>50.669299113720875</v>
      </c>
      <c r="K11" s="4">
        <f>'Ajuste de Volumen'!K11*AR11/1000000</f>
        <v>485.09401376701669</v>
      </c>
      <c r="L11" s="4">
        <f>'Ajuste de Volumen'!L11*AR11/1000000</f>
        <v>56.476571331178164</v>
      </c>
      <c r="M11" s="4">
        <f>'Ajuste de Volumen'!M11*AR11/1000000</f>
        <v>5.4337049987904429</v>
      </c>
      <c r="N11" s="4">
        <f>'Ajuste de Volumen'!N11*AR11/1000000</f>
        <v>357.67363154538089</v>
      </c>
      <c r="O11" s="4">
        <f>'Ajuste de Volumen'!O11*AR11/1000000</f>
        <v>304.49124386971937</v>
      </c>
      <c r="P11" s="4">
        <f>'Ajuste de Volumen'!P11*AR11/1000000</f>
        <v>96.176578478590827</v>
      </c>
      <c r="Q11" s="4">
        <f>'Ajuste de Volumen'!Q11*AR11/1000000</f>
        <v>4.1092394053352725</v>
      </c>
      <c r="R11" s="4">
        <f>'Ajuste de Volumen'!R11*AR11/1000000</f>
        <v>56.408650018693272</v>
      </c>
      <c r="S11" s="4">
        <f>'Ajuste de Volumen'!S11*AR11/1000000</f>
        <v>192.04751105099973</v>
      </c>
      <c r="T11" s="4">
        <f>'Ajuste de Volumen'!T11*AR11/1000000</f>
        <v>234.46437069780757</v>
      </c>
      <c r="U11" s="4">
        <f>'Ajuste de Volumen'!U11*AR11/1000000</f>
        <v>0</v>
      </c>
      <c r="V11" s="4">
        <f>'Ajuste de Volumen'!V11*AR11/1000000</f>
        <v>0</v>
      </c>
      <c r="W11" s="4">
        <f>'Ajuste de Volumen'!W11*AR11/1000000</f>
        <v>0</v>
      </c>
      <c r="X11" s="4">
        <f>'Ajuste de Volumen'!X11*AR11/1000000</f>
        <v>0</v>
      </c>
      <c r="Y11" s="4">
        <f>'Ajuste de Volumen'!Y11*AR11/1000000</f>
        <v>0</v>
      </c>
      <c r="Z11" s="4">
        <f>'Ajuste de Volumen'!Z11*AS11/1000000</f>
        <v>0</v>
      </c>
      <c r="AA11" s="4">
        <f>'Ajuste de Volumen'!AA11*AR11/1000000</f>
        <v>0</v>
      </c>
      <c r="AB11" s="4">
        <f>'Ajuste de Volumen'!AB11*AR11/1000000</f>
        <v>0</v>
      </c>
      <c r="AC11" s="4">
        <f>'Ajuste de Volumen'!AC11*$AR11/1000000</f>
        <v>0</v>
      </c>
      <c r="AD11" s="4">
        <f>'Ajuste de Volumen'!AD11*$AR11/1000000</f>
        <v>0</v>
      </c>
      <c r="AE11" s="4">
        <f>'Ajuste de Volumen'!AE11*$AR11/1000000</f>
        <v>0</v>
      </c>
      <c r="AF11" s="4">
        <f>'Ajuste de Volumen'!AF11*$AR11/1000000</f>
        <v>0</v>
      </c>
      <c r="AG11" s="4">
        <f>'Ajuste de Volumen'!AG11*$AR11/1000000</f>
        <v>0</v>
      </c>
      <c r="AH11" s="4">
        <f>'Ajuste de Volumen'!AH11*$AR11/1000000</f>
        <v>0</v>
      </c>
      <c r="AI11" s="4">
        <f>'Ajuste de Volumen'!AI11*$AR11/1000000</f>
        <v>0</v>
      </c>
      <c r="AJ11" s="4">
        <f>'Ajuste de Volumen'!AJ11*$AR11/1000000</f>
        <v>0</v>
      </c>
      <c r="AK11" s="4">
        <f>SUM(B11:AI11)</f>
        <v>3088.4500000000025</v>
      </c>
      <c r="AL11" s="4">
        <f>AVERAGE($AK$11:$AK$17)</f>
        <v>3100.0767142857139</v>
      </c>
      <c r="AM11" s="4">
        <f>'Ajuste de Volumen'!AM11*AR11/1000000</f>
        <v>3088.4500000000025</v>
      </c>
      <c r="AN11" s="4">
        <f>AVERAGE($AM$11:$AM$17)</f>
        <v>3100.0767142857139</v>
      </c>
      <c r="AO11" s="4">
        <f>'Ajuste de Volumen'!AO11*AR11/1000000</f>
        <v>3088.4500000000025</v>
      </c>
      <c r="AP11" s="19">
        <f>(AN11-AL11)/AN11</f>
        <v>0</v>
      </c>
      <c r="AQ11" s="19">
        <f>(AO11-AN11)/AO11</f>
        <v>-3.7645790884461064E-3</v>
      </c>
      <c r="AR11" s="4">
        <v>36109.974394649798</v>
      </c>
      <c r="AS11" s="20"/>
    </row>
    <row r="12" spans="1:45" x14ac:dyDescent="0.2">
      <c r="A12" s="296">
        <f>'Ajuste de Volumen'!A12</f>
        <v>20130302</v>
      </c>
      <c r="B12" s="4">
        <f>'Ajuste de Volumen'!B12*AR12/1000000</f>
        <v>1.3709769927214626</v>
      </c>
      <c r="C12" s="4">
        <f>'Ajuste de Volumen'!C12*AR12/1000000</f>
        <v>144.63807273211432</v>
      </c>
      <c r="D12" s="4">
        <f>'Ajuste de Volumen'!D12*AR12/1000000</f>
        <v>5.1952812355760694</v>
      </c>
      <c r="E12" s="4">
        <f>'Ajuste de Volumen'!E12*AR12/1000000</f>
        <v>35.428931759275699</v>
      </c>
      <c r="F12" s="4">
        <f>'Ajuste de Volumen'!F12*AR12/1000000</f>
        <v>0.93803688975679023</v>
      </c>
      <c r="G12" s="4">
        <f>'Ajuste de Volumen'!G12*AR12/1000000</f>
        <v>345.73875055920462</v>
      </c>
      <c r="H12" s="4">
        <f>'Ajuste de Volumen'!H12*AR12/1000000</f>
        <v>42.644600142020231</v>
      </c>
      <c r="I12" s="4">
        <f>'Ajuste de Volumen'!I12*AR12/1000000</f>
        <v>424.71424100834366</v>
      </c>
      <c r="J12" s="4">
        <f>'Ajuste de Volumen'!J12*AR12/1000000</f>
        <v>13.240751482336233</v>
      </c>
      <c r="K12" s="4">
        <f>'Ajuste de Volumen'!K12*AR12/1000000</f>
        <v>159.35803623291318</v>
      </c>
      <c r="L12" s="4">
        <f>'Ajuste de Volumen'!L12*AR12/1000000</f>
        <v>2.922345695011539</v>
      </c>
      <c r="M12" s="4">
        <f>'Ajuste de Volumen'!M12*AR12/1000000</f>
        <v>0</v>
      </c>
      <c r="N12" s="4">
        <f>'Ajuste de Volumen'!N12*AR12/1000000</f>
        <v>340.57954766554229</v>
      </c>
      <c r="O12" s="4">
        <f>'Ajuste de Volumen'!O12*AR12/1000000</f>
        <v>240.57038388070296</v>
      </c>
      <c r="P12" s="4">
        <f>'Ajuste de Volumen'!P12*AR12/1000000</f>
        <v>7.7207651695366586</v>
      </c>
      <c r="Q12" s="4">
        <f>'Ajuste de Volumen'!Q12*AR12/1000000</f>
        <v>1.8399954375998577</v>
      </c>
      <c r="R12" s="4">
        <f>'Ajuste de Volumen'!R12*AR12/1000000</f>
        <v>20.348184839339602</v>
      </c>
      <c r="S12" s="4">
        <f>'Ajuste de Volumen'!S12*AR12/1000000</f>
        <v>238.08097828865613</v>
      </c>
      <c r="T12" s="4">
        <f>'Ajuste de Volumen'!T12*AR12/1000000</f>
        <v>6.9631199893484812</v>
      </c>
      <c r="U12" s="4">
        <f>'Ajuste de Volumen'!U12*AR12/1000000</f>
        <v>0</v>
      </c>
      <c r="V12" s="4">
        <f>'Ajuste de Volumen'!V12*AR12/1000000</f>
        <v>0</v>
      </c>
      <c r="W12" s="4">
        <f>'Ajuste de Volumen'!W12*AR12/1000000</f>
        <v>0</v>
      </c>
      <c r="X12" s="4">
        <f>'Ajuste de Volumen'!X12*AR12/1000000</f>
        <v>0</v>
      </c>
      <c r="Y12" s="4">
        <f>'Ajuste de Volumen'!Y12*AR12/1000000</f>
        <v>0</v>
      </c>
      <c r="Z12" s="4">
        <f>'Ajuste de Volumen'!Z12*AS12/1000000</f>
        <v>0</v>
      </c>
      <c r="AA12" s="4">
        <f>'Ajuste de Volumen'!AA12*AR12/1000000</f>
        <v>0</v>
      </c>
      <c r="AB12" s="4">
        <f>'Ajuste de Volumen'!AB12*AR12/1000000</f>
        <v>0</v>
      </c>
      <c r="AC12" s="4">
        <f>'Ajuste de Volumen'!AC12*$AR12/1000000</f>
        <v>0</v>
      </c>
      <c r="AD12" s="4">
        <f>'Ajuste de Volumen'!AD12*$AR12/1000000</f>
        <v>0</v>
      </c>
      <c r="AE12" s="4">
        <f>'Ajuste de Volumen'!AE12*$AR12/1000000</f>
        <v>0</v>
      </c>
      <c r="AF12" s="4">
        <f>'Ajuste de Volumen'!AF12*$AR12/1000000</f>
        <v>0</v>
      </c>
      <c r="AG12" s="4">
        <f>'Ajuste de Volumen'!AG12*$AR12/1000000</f>
        <v>0</v>
      </c>
      <c r="AH12" s="4">
        <f>'Ajuste de Volumen'!AH12*$AR12/1000000</f>
        <v>0</v>
      </c>
      <c r="AI12" s="4">
        <f>'Ajuste de Volumen'!AI12*$AR12/1000000</f>
        <v>0</v>
      </c>
      <c r="AJ12" s="4">
        <f>'Ajuste de Volumen'!AJ12*$AR12/1000000</f>
        <v>0</v>
      </c>
      <c r="AK12" s="4">
        <f t="shared" ref="AK12:AK41" si="0">SUM(B12:AI12)</f>
        <v>2032.2929999999999</v>
      </c>
      <c r="AL12" s="4">
        <f t="shared" ref="AL12:AL17" si="1">AVERAGE($AK$11:$AK$17)</f>
        <v>3100.0767142857139</v>
      </c>
      <c r="AM12" s="4">
        <f>'Ajuste de Volumen'!AM12*AR12/1000000</f>
        <v>2032.2929999999997</v>
      </c>
      <c r="AN12" s="4">
        <f t="shared" ref="AN12:AN17" si="2">AVERAGE($AM$11:$AM$17)</f>
        <v>3100.0767142857139</v>
      </c>
      <c r="AO12" s="4">
        <f>'Ajuste de Volumen'!AO12*AR12/1000000</f>
        <v>2032.2929999999997</v>
      </c>
      <c r="AP12" s="19">
        <f t="shared" ref="AP12:AP42" si="3">(AN12-AL12)/AN12</f>
        <v>0</v>
      </c>
      <c r="AQ12" s="19">
        <f t="shared" ref="AQ12:AQ42" si="4">(AO12-AN12)/AO12</f>
        <v>-0.52540835120020313</v>
      </c>
      <c r="AR12" s="4">
        <v>36078.341913722703</v>
      </c>
      <c r="AS12" s="20"/>
    </row>
    <row r="13" spans="1:45" x14ac:dyDescent="0.2">
      <c r="A13" s="296">
        <f>'Ajuste de Volumen'!A13</f>
        <v>20130303</v>
      </c>
      <c r="B13" s="4">
        <f>'Ajuste de Volumen'!B13*AR13/1000000</f>
        <v>0.32557225183407718</v>
      </c>
      <c r="C13" s="4">
        <f>'Ajuste de Volumen'!C13*AR13/1000000</f>
        <v>22.392135987254864</v>
      </c>
      <c r="D13" s="4">
        <f>'Ajuste de Volumen'!D13*AR13/1000000</f>
        <v>28.650358161398792</v>
      </c>
      <c r="E13" s="4">
        <f>'Ajuste de Volumen'!E13*AR13/1000000</f>
        <v>31.580508427905485</v>
      </c>
      <c r="F13" s="4">
        <f>'Ajuste de Volumen'!F13*AR13/1000000</f>
        <v>71.191799067718208</v>
      </c>
      <c r="G13" s="4">
        <f>'Ajuste de Volumen'!G13*AR13/1000000</f>
        <v>265.30521055012468</v>
      </c>
      <c r="H13" s="4">
        <f>'Ajuste de Volumen'!H13*AR13/1000000</f>
        <v>39.35806777727511</v>
      </c>
      <c r="I13" s="4">
        <f>'Ajuste de Volumen'!I13*AR13/1000000</f>
        <v>370.50122258717983</v>
      </c>
      <c r="J13" s="4">
        <f>'Ajuste de Volumen'!J13*AR13/1000000</f>
        <v>8.6457520209271603</v>
      </c>
      <c r="K13" s="4">
        <f>'Ajuste de Volumen'!K13*AR13/1000000</f>
        <v>140.28546584583901</v>
      </c>
      <c r="L13" s="4">
        <f>'Ajuste de Volumen'!L13*AR13/1000000</f>
        <v>9.4415953031882385</v>
      </c>
      <c r="M13" s="4">
        <f>'Ajuste de Volumen'!M13*AR13/1000000</f>
        <v>0</v>
      </c>
      <c r="N13" s="4">
        <f>'Ajuste de Volumen'!N13*AR13/1000000</f>
        <v>352.52239934700913</v>
      </c>
      <c r="O13" s="4">
        <f>'Ajuste de Volumen'!O13*AR13/1000000</f>
        <v>228.62407017681863</v>
      </c>
      <c r="P13" s="4">
        <f>'Ajuste de Volumen'!P13*AR13/1000000</f>
        <v>30.531442283106795</v>
      </c>
      <c r="Q13" s="4">
        <f>'Ajuste de Volumen'!Q13*AR13/1000000</f>
        <v>0.72349389296461597</v>
      </c>
      <c r="R13" s="4">
        <f>'Ajuste de Volumen'!R13*AR13/1000000</f>
        <v>0</v>
      </c>
      <c r="S13" s="4">
        <f>'Ajuste de Volumen'!S13*AR13/1000000</f>
        <v>231.19247349684304</v>
      </c>
      <c r="T13" s="4">
        <f>'Ajuste de Volumen'!T13*AR13/1000000</f>
        <v>7.9584328226107743</v>
      </c>
      <c r="U13" s="4">
        <f>'Ajuste de Volumen'!U13*AR13/1000000</f>
        <v>0</v>
      </c>
      <c r="V13" s="4">
        <f>'Ajuste de Volumen'!V13*AR13/1000000</f>
        <v>0</v>
      </c>
      <c r="W13" s="4">
        <f>'Ajuste de Volumen'!W13*AR13/1000000</f>
        <v>0</v>
      </c>
      <c r="X13" s="4">
        <f>'Ajuste de Volumen'!X13*AR13/1000000</f>
        <v>0</v>
      </c>
      <c r="Y13" s="4">
        <f>'Ajuste de Volumen'!Y13*AR13/1000000</f>
        <v>0</v>
      </c>
      <c r="Z13" s="4">
        <f>'Ajuste de Volumen'!Z13*AS13/1000000</f>
        <v>0</v>
      </c>
      <c r="AA13" s="4">
        <f>'Ajuste de Volumen'!AA13*AR13/1000000</f>
        <v>0</v>
      </c>
      <c r="AB13" s="4">
        <f>'Ajuste de Volumen'!AB13*AR13/1000000</f>
        <v>0</v>
      </c>
      <c r="AC13" s="4">
        <f>'Ajuste de Volumen'!AC13*$AR13/1000000</f>
        <v>0</v>
      </c>
      <c r="AD13" s="4">
        <f>'Ajuste de Volumen'!AD13*$AR13/1000000</f>
        <v>0</v>
      </c>
      <c r="AE13" s="4">
        <f>'Ajuste de Volumen'!AE13*$AR13/1000000</f>
        <v>0</v>
      </c>
      <c r="AF13" s="4">
        <f>'Ajuste de Volumen'!AF13*$AR13/1000000</f>
        <v>0</v>
      </c>
      <c r="AG13" s="4">
        <f>'Ajuste de Volumen'!AG13*$AR13/1000000</f>
        <v>0</v>
      </c>
      <c r="AH13" s="4">
        <f>'Ajuste de Volumen'!AH13*$AR13/1000000</f>
        <v>0</v>
      </c>
      <c r="AI13" s="4">
        <f>'Ajuste de Volumen'!AI13*$AR13/1000000</f>
        <v>0</v>
      </c>
      <c r="AJ13" s="4">
        <f>'Ajuste de Volumen'!AJ13*$AR13/1000000</f>
        <v>0</v>
      </c>
      <c r="AK13" s="4">
        <f t="shared" si="0"/>
        <v>1839.2299999999984</v>
      </c>
      <c r="AL13" s="4">
        <f t="shared" si="1"/>
        <v>3100.0767142857139</v>
      </c>
      <c r="AM13" s="4">
        <f>'Ajuste de Volumen'!AM13*AR13/1000000</f>
        <v>1839.2299999999984</v>
      </c>
      <c r="AN13" s="4">
        <f t="shared" si="2"/>
        <v>3100.0767142857139</v>
      </c>
      <c r="AO13" s="4">
        <f>'Ajuste de Volumen'!AO13*AR13/1000000</f>
        <v>1839.2299999999984</v>
      </c>
      <c r="AP13" s="19">
        <f t="shared" si="3"/>
        <v>0</v>
      </c>
      <c r="AQ13" s="19">
        <f t="shared" si="4"/>
        <v>-0.68552965876248029</v>
      </c>
      <c r="AR13" s="4">
        <v>36174.694648230798</v>
      </c>
      <c r="AS13" s="20"/>
    </row>
    <row r="14" spans="1:45" x14ac:dyDescent="0.2">
      <c r="A14" s="296">
        <f>'Ajuste de Volumen'!A14</f>
        <v>20130304</v>
      </c>
      <c r="B14" s="4">
        <f>'Ajuste de Volumen'!B14*AR14/1000000</f>
        <v>3.1584386863423068</v>
      </c>
      <c r="C14" s="4">
        <f>'Ajuste de Volumen'!C14*AR14/1000000</f>
        <v>214.44709563475868</v>
      </c>
      <c r="D14" s="4">
        <f>'Ajuste de Volumen'!D14*AR14/1000000</f>
        <v>64.584625551758194</v>
      </c>
      <c r="E14" s="4">
        <f>'Ajuste de Volumen'!E14*AR14/1000000</f>
        <v>143.47298492442295</v>
      </c>
      <c r="F14" s="4">
        <f>'Ajuste de Volumen'!F14*AR14/1000000</f>
        <v>171.71741363677137</v>
      </c>
      <c r="G14" s="4">
        <f>'Ajuste de Volumen'!G14*AR14/1000000</f>
        <v>331.52715038710284</v>
      </c>
      <c r="H14" s="4">
        <f>'Ajuste de Volumen'!H14*AR14/1000000</f>
        <v>37.828656450214758</v>
      </c>
      <c r="I14" s="4">
        <f>'Ajuste de Volumen'!I14*AR14/1000000</f>
        <v>432.45197277827077</v>
      </c>
      <c r="J14" s="4">
        <f>'Ajuste de Volumen'!J14*AR14/1000000</f>
        <v>53.403026524247515</v>
      </c>
      <c r="K14" s="4">
        <f>'Ajuste de Volumen'!K14*AR14/1000000</f>
        <v>817.45475747551404</v>
      </c>
      <c r="L14" s="4">
        <f>'Ajuste de Volumen'!L14*AR14/1000000</f>
        <v>71.554972997479155</v>
      </c>
      <c r="M14" s="4">
        <f>'Ajuste de Volumen'!M14*AR14/1000000</f>
        <v>16.191536254122632</v>
      </c>
      <c r="N14" s="4">
        <f>'Ajuste de Volumen'!N14*AR14/1000000</f>
        <v>368.0125627982984</v>
      </c>
      <c r="O14" s="4">
        <f>'Ajuste de Volumen'!O14*AR14/1000000</f>
        <v>396.32959929653981</v>
      </c>
      <c r="P14" s="4">
        <f>'Ajuste de Volumen'!P14*AR14/1000000</f>
        <v>111.99750973983927</v>
      </c>
      <c r="Q14" s="4">
        <f>'Ajuste de Volumen'!Q14*AR14/1000000</f>
        <v>14.99350778688934</v>
      </c>
      <c r="R14" s="4">
        <f>'Ajuste de Volumen'!R14*AR14/1000000</f>
        <v>13.142009246619713</v>
      </c>
      <c r="S14" s="4">
        <f>'Ajuste de Volumen'!S14*AR14/1000000</f>
        <v>226.35477252119867</v>
      </c>
      <c r="T14" s="4">
        <f>'Ajuste de Volumen'!T14*AR14/1000000</f>
        <v>154.87240730961241</v>
      </c>
      <c r="U14" s="4">
        <f>'Ajuste de Volumen'!U14*AR14/1000000</f>
        <v>0</v>
      </c>
      <c r="V14" s="4">
        <f>'Ajuste de Volumen'!V14*AR14/1000000</f>
        <v>0</v>
      </c>
      <c r="W14" s="4">
        <f>'Ajuste de Volumen'!W14*AR14/1000000</f>
        <v>0</v>
      </c>
      <c r="X14" s="4">
        <f>'Ajuste de Volumen'!X14*AR14/1000000</f>
        <v>0</v>
      </c>
      <c r="Y14" s="4">
        <f>'Ajuste de Volumen'!Y14*AR14/1000000</f>
        <v>0</v>
      </c>
      <c r="Z14" s="4">
        <f>'Ajuste de Volumen'!Z14*AS14/1000000</f>
        <v>0</v>
      </c>
      <c r="AA14" s="4">
        <f>'Ajuste de Volumen'!AA14*AR14/1000000</f>
        <v>0</v>
      </c>
      <c r="AB14" s="4">
        <f>'Ajuste de Volumen'!AB14*AR14/1000000</f>
        <v>0</v>
      </c>
      <c r="AC14" s="4">
        <f>'Ajuste de Volumen'!AC14*$AR14/1000000</f>
        <v>0</v>
      </c>
      <c r="AD14" s="4">
        <f>'Ajuste de Volumen'!AD14*$AR14/1000000</f>
        <v>0</v>
      </c>
      <c r="AE14" s="4">
        <f>'Ajuste de Volumen'!AE14*$AR14/1000000</f>
        <v>0</v>
      </c>
      <c r="AF14" s="4">
        <f>'Ajuste de Volumen'!AF14*$AR14/1000000</f>
        <v>0</v>
      </c>
      <c r="AG14" s="4">
        <f>'Ajuste de Volumen'!AG14*$AR14/1000000</f>
        <v>0</v>
      </c>
      <c r="AH14" s="4">
        <f>'Ajuste de Volumen'!AH14*$AR14/1000000</f>
        <v>0</v>
      </c>
      <c r="AI14" s="4">
        <f>'Ajuste de Volumen'!AI14*$AR14/1000000</f>
        <v>0</v>
      </c>
      <c r="AJ14" s="4">
        <f>'Ajuste de Volumen'!AJ14*$AR14/1000000</f>
        <v>0</v>
      </c>
      <c r="AK14" s="4">
        <f t="shared" si="0"/>
        <v>3643.4950000000031</v>
      </c>
      <c r="AL14" s="4">
        <f t="shared" si="1"/>
        <v>3100.0767142857139</v>
      </c>
      <c r="AM14" s="4">
        <f>'Ajuste de Volumen'!AM14*AR14/1000000</f>
        <v>3643.4950000000031</v>
      </c>
      <c r="AN14" s="4">
        <f t="shared" si="2"/>
        <v>3100.0767142857139</v>
      </c>
      <c r="AO14" s="4">
        <f>'Ajuste de Volumen'!AO14*AR14/1000000</f>
        <v>3643.4950000000031</v>
      </c>
      <c r="AP14" s="19">
        <f t="shared" si="3"/>
        <v>0</v>
      </c>
      <c r="AQ14" s="19">
        <f t="shared" si="4"/>
        <v>0.1491475316184841</v>
      </c>
      <c r="AR14" s="4">
        <v>36303.892946463297</v>
      </c>
      <c r="AS14" s="20"/>
    </row>
    <row r="15" spans="1:45" x14ac:dyDescent="0.2">
      <c r="A15" s="296">
        <f>'Ajuste de Volumen'!A15</f>
        <v>20130305</v>
      </c>
      <c r="B15" s="4">
        <f>'Ajuste de Volumen'!B15*AR15/1000000</f>
        <v>2.5028789916431431</v>
      </c>
      <c r="C15" s="4">
        <f>'Ajuste de Volumen'!C15*AR15/1000000</f>
        <v>237.84605142324764</v>
      </c>
      <c r="D15" s="4">
        <f>'Ajuste de Volumen'!D15*AR15/1000000</f>
        <v>59.597538887966429</v>
      </c>
      <c r="E15" s="4">
        <f>'Ajuste de Volumen'!E15*AR15/1000000</f>
        <v>137.54952371464927</v>
      </c>
      <c r="F15" s="4">
        <f>'Ajuste de Volumen'!F15*AR15/1000000</f>
        <v>182.12978865275682</v>
      </c>
      <c r="G15" s="4">
        <f>'Ajuste de Volumen'!G15*AR15/1000000</f>
        <v>349.93150191857097</v>
      </c>
      <c r="H15" s="4">
        <f>'Ajuste de Volumen'!H15*AR15/1000000</f>
        <v>39.610780563395828</v>
      </c>
      <c r="I15" s="4">
        <f>'Ajuste de Volumen'!I15*AR15/1000000</f>
        <v>417.8719707786812</v>
      </c>
      <c r="J15" s="4">
        <f>'Ajuste de Volumen'!J15*AR15/1000000</f>
        <v>49.767390964266554</v>
      </c>
      <c r="K15" s="4">
        <f>'Ajuste de Volumen'!K15*AR15/1000000</f>
        <v>946.99509905547143</v>
      </c>
      <c r="L15" s="4">
        <f>'Ajuste de Volumen'!L15*AR15/1000000</f>
        <v>68.412025771579252</v>
      </c>
      <c r="M15" s="4">
        <f>'Ajuste de Volumen'!M15*AR15/1000000</f>
        <v>20.821051321784985</v>
      </c>
      <c r="N15" s="4">
        <f>'Ajuste de Volumen'!N15*AR15/1000000</f>
        <v>385.15317584444767</v>
      </c>
      <c r="O15" s="4">
        <f>'Ajuste de Volumen'!O15*AR15/1000000</f>
        <v>405.50267025476364</v>
      </c>
      <c r="P15" s="4">
        <f>'Ajuste de Volumen'!P15*AR15/1000000</f>
        <v>105.91893703765183</v>
      </c>
      <c r="Q15" s="4">
        <f>'Ajuste de Volumen'!Q15*AR15/1000000</f>
        <v>14.654537864113474</v>
      </c>
      <c r="R15" s="4">
        <f>'Ajuste de Volumen'!R15*AR15/1000000</f>
        <v>58.835793107901125</v>
      </c>
      <c r="S15" s="4">
        <f>'Ajuste de Volumen'!S15*AR15/1000000</f>
        <v>206.75956887486834</v>
      </c>
      <c r="T15" s="4">
        <f>'Ajuste de Volumen'!T15*AR15/1000000</f>
        <v>242.70671497223577</v>
      </c>
      <c r="U15" s="4">
        <f>'Ajuste de Volumen'!U15*AR15/1000000</f>
        <v>0</v>
      </c>
      <c r="V15" s="4">
        <f>'Ajuste de Volumen'!V15*AR15/1000000</f>
        <v>0</v>
      </c>
      <c r="W15" s="4">
        <f>'Ajuste de Volumen'!W15*AR15/1000000</f>
        <v>0</v>
      </c>
      <c r="X15" s="4">
        <f>'Ajuste de Volumen'!X15*AR15/1000000</f>
        <v>0</v>
      </c>
      <c r="Y15" s="4">
        <f>'Ajuste de Volumen'!Y15*AR15/1000000</f>
        <v>0</v>
      </c>
      <c r="Z15" s="4">
        <f>'Ajuste de Volumen'!Z15*AS15/1000000</f>
        <v>0</v>
      </c>
      <c r="AA15" s="4">
        <f>'Ajuste de Volumen'!AA15*AR15/1000000</f>
        <v>0</v>
      </c>
      <c r="AB15" s="4">
        <f>'Ajuste de Volumen'!AB15*AR15/1000000</f>
        <v>0</v>
      </c>
      <c r="AC15" s="4">
        <f>'Ajuste de Volumen'!AC15*$AR15/1000000</f>
        <v>0</v>
      </c>
      <c r="AD15" s="4">
        <f>'Ajuste de Volumen'!AD15*$AR15/1000000</f>
        <v>0</v>
      </c>
      <c r="AE15" s="4">
        <f>'Ajuste de Volumen'!AE15*$AR15/1000000</f>
        <v>0</v>
      </c>
      <c r="AF15" s="4">
        <f>'Ajuste de Volumen'!AF15*$AR15/1000000</f>
        <v>0</v>
      </c>
      <c r="AG15" s="4">
        <f>'Ajuste de Volumen'!AG15*$AR15/1000000</f>
        <v>0</v>
      </c>
      <c r="AH15" s="4">
        <f>'Ajuste de Volumen'!AH15*$AR15/1000000</f>
        <v>0</v>
      </c>
      <c r="AI15" s="4">
        <f>'Ajuste de Volumen'!AI15*$AR15/1000000</f>
        <v>0</v>
      </c>
      <c r="AJ15" s="4">
        <f>'Ajuste de Volumen'!AJ15*$AR15/1000000</f>
        <v>0</v>
      </c>
      <c r="AK15" s="4">
        <f t="shared" si="0"/>
        <v>3932.5669999999955</v>
      </c>
      <c r="AL15" s="4">
        <f t="shared" si="1"/>
        <v>3100.0767142857139</v>
      </c>
      <c r="AM15" s="4">
        <f>'Ajuste de Volumen'!AM15*AR15/1000000</f>
        <v>3932.5669999999959</v>
      </c>
      <c r="AN15" s="4">
        <f t="shared" si="2"/>
        <v>3100.0767142857139</v>
      </c>
      <c r="AO15" s="4">
        <f>'Ajuste de Volumen'!AO15*AR15/1000000</f>
        <v>3932.5669999999959</v>
      </c>
      <c r="AP15" s="19">
        <f t="shared" si="3"/>
        <v>0</v>
      </c>
      <c r="AQ15" s="19">
        <f t="shared" si="4"/>
        <v>0.21169131656607068</v>
      </c>
      <c r="AR15" s="4">
        <v>36273.608574538302</v>
      </c>
      <c r="AS15" s="12"/>
    </row>
    <row r="16" spans="1:45" x14ac:dyDescent="0.2">
      <c r="A16" s="296">
        <f>'Ajuste de Volumen'!A16</f>
        <v>20130306</v>
      </c>
      <c r="B16" s="4">
        <f>'Ajuste de Volumen'!B16*AR16/1000000</f>
        <v>0</v>
      </c>
      <c r="C16" s="4">
        <f>'Ajuste de Volumen'!C16*AR16/1000000</f>
        <v>258.26934793741663</v>
      </c>
      <c r="D16" s="4">
        <f>'Ajuste de Volumen'!D16*AR16/1000000</f>
        <v>56.238704544538045</v>
      </c>
      <c r="E16" s="4">
        <f>'Ajuste de Volumen'!E16*AR16/1000000</f>
        <v>108.8807477519254</v>
      </c>
      <c r="F16" s="4">
        <f>'Ajuste de Volumen'!F16*AR16/1000000</f>
        <v>180.41434545747799</v>
      </c>
      <c r="G16" s="4">
        <f>'Ajuste de Volumen'!G16*AR16/1000000</f>
        <v>309.20388525746984</v>
      </c>
      <c r="H16" s="4">
        <f>'Ajuste de Volumen'!H16*AR16/1000000</f>
        <v>40.035563571111709</v>
      </c>
      <c r="I16" s="4">
        <f>'Ajuste de Volumen'!I16*AR16/1000000</f>
        <v>415.10558018468453</v>
      </c>
      <c r="J16" s="4">
        <f>'Ajuste de Volumen'!J16*AR16/1000000</f>
        <v>54.313219182225048</v>
      </c>
      <c r="K16" s="4">
        <f>'Ajuste de Volumen'!K16*AR16/1000000</f>
        <v>745.5987941650867</v>
      </c>
      <c r="L16" s="4">
        <f>'Ajuste de Volumen'!L16*AR16/1000000</f>
        <v>67.391987680954827</v>
      </c>
      <c r="M16" s="4">
        <f>'Ajuste de Volumen'!M16*AR16/1000000</f>
        <v>16.348460623412223</v>
      </c>
      <c r="N16" s="4">
        <f>'Ajuste de Volumen'!N16*AR16/1000000</f>
        <v>326.89655264325148</v>
      </c>
      <c r="O16" s="4">
        <f>'Ajuste de Volumen'!O16*AR16/1000000</f>
        <v>402.353780898423</v>
      </c>
      <c r="P16" s="4">
        <f>'Ajuste de Volumen'!P16*AR16/1000000</f>
        <v>108.55377853945714</v>
      </c>
      <c r="Q16" s="4">
        <f>'Ajuste de Volumen'!Q16*AR16/1000000</f>
        <v>18.891554498165235</v>
      </c>
      <c r="R16" s="4">
        <f>'Ajuste de Volumen'!R16*AR16/1000000</f>
        <v>57.546581394411021</v>
      </c>
      <c r="S16" s="4">
        <f>'Ajuste de Volumen'!S16*AR16/1000000</f>
        <v>213.22025644179183</v>
      </c>
      <c r="T16" s="4">
        <f>'Ajuste de Volumen'!T16*AR16/1000000</f>
        <v>224.51885922819451</v>
      </c>
      <c r="U16" s="4">
        <f>'Ajuste de Volumen'!U16*AR16/1000000</f>
        <v>0</v>
      </c>
      <c r="V16" s="4">
        <f>'Ajuste de Volumen'!V16*AR16/1000000</f>
        <v>0</v>
      </c>
      <c r="W16" s="4">
        <f>'Ajuste de Volumen'!W16*AR16/1000000</f>
        <v>0</v>
      </c>
      <c r="X16" s="4">
        <f>'Ajuste de Volumen'!X16*AR16/1000000</f>
        <v>0</v>
      </c>
      <c r="Y16" s="4">
        <f>'Ajuste de Volumen'!Y16*AR16/1000000</f>
        <v>0</v>
      </c>
      <c r="Z16" s="4">
        <f>'Ajuste de Volumen'!Z16*AS16/1000000</f>
        <v>0</v>
      </c>
      <c r="AA16" s="4">
        <f>'Ajuste de Volumen'!AA16*AR16/1000000</f>
        <v>0</v>
      </c>
      <c r="AB16" s="4">
        <f>'Ajuste de Volumen'!AB16*AR16/1000000</f>
        <v>0</v>
      </c>
      <c r="AC16" s="4">
        <f>'Ajuste de Volumen'!AC16*$AR16/1000000</f>
        <v>0</v>
      </c>
      <c r="AD16" s="4">
        <f>'Ajuste de Volumen'!AD16*$AR16/1000000</f>
        <v>0</v>
      </c>
      <c r="AE16" s="4">
        <f>'Ajuste de Volumen'!AE16*$AR16/1000000</f>
        <v>0</v>
      </c>
      <c r="AF16" s="4">
        <f>'Ajuste de Volumen'!AF16*$AR16/1000000</f>
        <v>0</v>
      </c>
      <c r="AG16" s="4">
        <f>'Ajuste de Volumen'!AG16*$AR16/1000000</f>
        <v>0</v>
      </c>
      <c r="AH16" s="4">
        <f>'Ajuste de Volumen'!AH16*$AR16/1000000</f>
        <v>0</v>
      </c>
      <c r="AI16" s="4">
        <f>'Ajuste de Volumen'!AI16*$AR16/1000000</f>
        <v>0</v>
      </c>
      <c r="AJ16" s="4">
        <f>'Ajuste de Volumen'!AJ16*$AR16/1000000</f>
        <v>0</v>
      </c>
      <c r="AK16" s="4">
        <f t="shared" si="0"/>
        <v>3603.7819999999974</v>
      </c>
      <c r="AL16" s="4">
        <f t="shared" si="1"/>
        <v>3100.0767142857139</v>
      </c>
      <c r="AM16" s="4">
        <f>'Ajuste de Volumen'!AM16*AR16/1000000</f>
        <v>3603.781999999997</v>
      </c>
      <c r="AN16" s="4">
        <f t="shared" si="2"/>
        <v>3100.0767142857139</v>
      </c>
      <c r="AO16" s="4">
        <f>'Ajuste de Volumen'!AO16*AR16/1000000</f>
        <v>3603.781999999997</v>
      </c>
      <c r="AP16" s="19">
        <f t="shared" si="3"/>
        <v>0</v>
      </c>
      <c r="AQ16" s="19">
        <f t="shared" si="4"/>
        <v>0.1397712974076355</v>
      </c>
      <c r="AR16" s="4">
        <v>36329.912496471603</v>
      </c>
    </row>
    <row r="17" spans="1:44" x14ac:dyDescent="0.2">
      <c r="A17" s="296">
        <f>'Ajuste de Volumen'!A17</f>
        <v>20130307</v>
      </c>
      <c r="B17" s="4">
        <f>'Ajuste de Volumen'!B17*AR17/1000000</f>
        <v>3.6359106318670099E-2</v>
      </c>
      <c r="C17" s="4">
        <f>'Ajuste de Volumen'!C17*AR17/1000000</f>
        <v>264.29434383041297</v>
      </c>
      <c r="D17" s="4">
        <f>'Ajuste de Volumen'!D17*AR17/1000000</f>
        <v>41.194867459053228</v>
      </c>
      <c r="E17" s="4">
        <f>'Ajuste de Volumen'!E17*AR17/1000000</f>
        <v>111.80425192991054</v>
      </c>
      <c r="F17" s="4">
        <f>'Ajuste de Volumen'!F17*AR17/1000000</f>
        <v>164.45223787934486</v>
      </c>
      <c r="G17" s="4">
        <f>'Ajuste de Volumen'!G17*AR17/1000000</f>
        <v>327.99549810072295</v>
      </c>
      <c r="H17" s="4">
        <f>'Ajuste de Volumen'!H17*AR17/1000000</f>
        <v>39.813221418943755</v>
      </c>
      <c r="I17" s="4">
        <f>'Ajuste de Volumen'!I17*AR17/1000000</f>
        <v>406.16757668586365</v>
      </c>
      <c r="J17" s="4">
        <f>'Ajuste de Volumen'!J17*AR17/1000000</f>
        <v>59.119906874157586</v>
      </c>
      <c r="K17" s="4">
        <f>'Ajuste de Volumen'!K17*AR17/1000000</f>
        <v>788.44722052036104</v>
      </c>
      <c r="L17" s="4">
        <f>'Ajuste de Volumen'!L17*AR17/1000000</f>
        <v>64.064745333496717</v>
      </c>
      <c r="M17" s="4">
        <f>'Ajuste de Volumen'!M17*AR17/1000000</f>
        <v>6.9445893068659892</v>
      </c>
      <c r="N17" s="4">
        <f>'Ajuste de Volumen'!N17*AR17/1000000</f>
        <v>324.50502389413066</v>
      </c>
      <c r="O17" s="4">
        <f>'Ajuste de Volumen'!O17*AR17/1000000</f>
        <v>370.60837070620431</v>
      </c>
      <c r="P17" s="4">
        <f>'Ajuste de Volumen'!P17*AR17/1000000</f>
        <v>97.333327615079853</v>
      </c>
      <c r="Q17" s="4">
        <f>'Ajuste de Volumen'!Q17*AR17/1000000</f>
        <v>19.233967242576483</v>
      </c>
      <c r="R17" s="4">
        <f>'Ajuste de Volumen'!R17*AR17/1000000</f>
        <v>59.665293468937634</v>
      </c>
      <c r="S17" s="4">
        <f>'Ajuste de Volumen'!S17*AR17/1000000</f>
        <v>209.71932524608914</v>
      </c>
      <c r="T17" s="4">
        <f>'Ajuste de Volumen'!T17*AR17/1000000</f>
        <v>205.31987338153004</v>
      </c>
      <c r="U17" s="4">
        <f>'Ajuste de Volumen'!U17*AR17/1000000</f>
        <v>0</v>
      </c>
      <c r="V17" s="4">
        <f>'Ajuste de Volumen'!V17*AR17/1000000</f>
        <v>0</v>
      </c>
      <c r="W17" s="4">
        <f>'Ajuste de Volumen'!W17*AR17/1000000</f>
        <v>0</v>
      </c>
      <c r="X17" s="4">
        <f>'Ajuste de Volumen'!X17*AR17/1000000</f>
        <v>0</v>
      </c>
      <c r="Y17" s="4">
        <f>'Ajuste de Volumen'!Y17*AR17/1000000</f>
        <v>0</v>
      </c>
      <c r="Z17" s="4">
        <f>'Ajuste de Volumen'!Z17*AS17/1000000</f>
        <v>0</v>
      </c>
      <c r="AA17" s="4">
        <f>'Ajuste de Volumen'!AA17*AR17/1000000</f>
        <v>0</v>
      </c>
      <c r="AB17" s="4">
        <f>'Ajuste de Volumen'!AB17*AR17/1000000</f>
        <v>0</v>
      </c>
      <c r="AC17" s="4">
        <f>'Ajuste de Volumen'!AC17*$AR17/1000000</f>
        <v>0</v>
      </c>
      <c r="AD17" s="4">
        <f>'Ajuste de Volumen'!AD17*$AR17/1000000</f>
        <v>0</v>
      </c>
      <c r="AE17" s="4">
        <f>'Ajuste de Volumen'!AE17*$AR17/1000000</f>
        <v>0</v>
      </c>
      <c r="AF17" s="4">
        <f>'Ajuste de Volumen'!AF17*$AR17/1000000</f>
        <v>0</v>
      </c>
      <c r="AG17" s="4">
        <f>'Ajuste de Volumen'!AG17*$AR17/1000000</f>
        <v>0</v>
      </c>
      <c r="AH17" s="4">
        <f>'Ajuste de Volumen'!AH17*$AR17/1000000</f>
        <v>0</v>
      </c>
      <c r="AI17" s="4">
        <f>'Ajuste de Volumen'!AI17*$AR17/1000000</f>
        <v>0</v>
      </c>
      <c r="AJ17" s="4">
        <f>'Ajuste de Volumen'!AJ17*$AR17/1000000</f>
        <v>0</v>
      </c>
      <c r="AK17" s="4">
        <f t="shared" si="0"/>
        <v>3560.7200000000007</v>
      </c>
      <c r="AL17" s="4">
        <f t="shared" si="1"/>
        <v>3100.0767142857139</v>
      </c>
      <c r="AM17" s="4">
        <f>'Ajuste de Volumen'!AM17*AR17/1000000</f>
        <v>3560.72</v>
      </c>
      <c r="AN17" s="4">
        <f t="shared" si="2"/>
        <v>3100.0767142857139</v>
      </c>
      <c r="AO17" s="4">
        <f>'Ajuste de Volumen'!AO17*AR17/1000000</f>
        <v>3560.72</v>
      </c>
      <c r="AP17" s="19">
        <f t="shared" si="3"/>
        <v>0</v>
      </c>
      <c r="AQ17" s="19">
        <f t="shared" si="4"/>
        <v>0.12936801706235984</v>
      </c>
      <c r="AR17" s="4">
        <v>36359.106318670099</v>
      </c>
    </row>
    <row r="18" spans="1:44" x14ac:dyDescent="0.2">
      <c r="A18" s="296">
        <f>'Ajuste de Volumen'!A18</f>
        <v>20130308</v>
      </c>
      <c r="B18" s="4">
        <f>'Ajuste de Volumen'!B18*AR18/1000000</f>
        <v>0</v>
      </c>
      <c r="C18" s="4">
        <f>'Ajuste de Volumen'!C18*AR18/1000000</f>
        <v>191.74635757993377</v>
      </c>
      <c r="D18" s="4">
        <f>'Ajuste de Volumen'!D18*AR18/1000000</f>
        <v>28.165926293489132</v>
      </c>
      <c r="E18" s="4">
        <f>'Ajuste de Volumen'!E18*AR18/1000000</f>
        <v>122.25829167909346</v>
      </c>
      <c r="F18" s="4">
        <f>'Ajuste de Volumen'!F18*AR18/1000000</f>
        <v>164.70706833818417</v>
      </c>
      <c r="G18" s="4">
        <f>'Ajuste de Volumen'!G18*AR18/1000000</f>
        <v>293.9795842426239</v>
      </c>
      <c r="H18" s="4">
        <f>'Ajuste de Volumen'!H18*AR18/1000000</f>
        <v>36.088728786367362</v>
      </c>
      <c r="I18" s="4">
        <f>'Ajuste de Volumen'!I18*AR18/1000000</f>
        <v>411.76767084546049</v>
      </c>
      <c r="J18" s="4">
        <f>'Ajuste de Volumen'!J18*AR18/1000000</f>
        <v>59.457361827288025</v>
      </c>
      <c r="K18" s="4">
        <f>'Ajuste de Volumen'!K18*AR18/1000000</f>
        <v>964.76474759608061</v>
      </c>
      <c r="L18" s="4">
        <f>'Ajuste de Volumen'!L18*AR18/1000000</f>
        <v>57.821920945730589</v>
      </c>
      <c r="M18" s="4">
        <f>'Ajuste de Volumen'!M18*AR18/1000000</f>
        <v>0</v>
      </c>
      <c r="N18" s="4">
        <f>'Ajuste de Volumen'!N18*AR18/1000000</f>
        <v>331.74009704125007</v>
      </c>
      <c r="O18" s="4">
        <f>'Ajuste de Volumen'!O18*AR18/1000000</f>
        <v>321.49133418349015</v>
      </c>
      <c r="P18" s="4">
        <f>'Ajuste de Volumen'!P18*AR18/1000000</f>
        <v>99.652864382899608</v>
      </c>
      <c r="Q18" s="4">
        <f>'Ajuste de Volumen'!Q18*AR18/1000000</f>
        <v>9.7036158972407716</v>
      </c>
      <c r="R18" s="4">
        <f>'Ajuste de Volumen'!R18*AR18/1000000</f>
        <v>55.459617450147626</v>
      </c>
      <c r="S18" s="4">
        <f>'Ajuste de Volumen'!S18*AR18/1000000</f>
        <v>216.78677463311311</v>
      </c>
      <c r="T18" s="4">
        <f>'Ajuste de Volumen'!T18*AR18/1000000</f>
        <v>168.30503827761055</v>
      </c>
      <c r="U18" s="4">
        <f>'Ajuste de Volumen'!U18*AR18/1000000</f>
        <v>0</v>
      </c>
      <c r="V18" s="4">
        <f>'Ajuste de Volumen'!V18*AR18/1000000</f>
        <v>0</v>
      </c>
      <c r="W18" s="4">
        <f>'Ajuste de Volumen'!W18*AR18/1000000</f>
        <v>0</v>
      </c>
      <c r="X18" s="4">
        <f>'Ajuste de Volumen'!X18*AR18/1000000</f>
        <v>0</v>
      </c>
      <c r="Y18" s="4">
        <f>'Ajuste de Volumen'!Y18*AR18/1000000</f>
        <v>0</v>
      </c>
      <c r="Z18" s="4">
        <f>'Ajuste de Volumen'!Z18*AS18/1000000</f>
        <v>0</v>
      </c>
      <c r="AA18" s="4">
        <f>'Ajuste de Volumen'!AA18*AR18/1000000</f>
        <v>0</v>
      </c>
      <c r="AB18" s="4">
        <f>'Ajuste de Volumen'!AB18*AR18/1000000</f>
        <v>0</v>
      </c>
      <c r="AC18" s="4">
        <f>'Ajuste de Volumen'!AC18*$AR18/1000000</f>
        <v>0</v>
      </c>
      <c r="AD18" s="4">
        <f>'Ajuste de Volumen'!AD18*$AR18/1000000</f>
        <v>0</v>
      </c>
      <c r="AE18" s="4">
        <f>'Ajuste de Volumen'!AE18*$AR18/1000000</f>
        <v>0</v>
      </c>
      <c r="AF18" s="4">
        <f>'Ajuste de Volumen'!AF18*$AR18/1000000</f>
        <v>0</v>
      </c>
      <c r="AG18" s="4">
        <f>'Ajuste de Volumen'!AG18*$AR18/1000000</f>
        <v>0</v>
      </c>
      <c r="AH18" s="4">
        <f>'Ajuste de Volumen'!AH18*$AR18/1000000</f>
        <v>0</v>
      </c>
      <c r="AI18" s="4">
        <f>'Ajuste de Volumen'!AI18*$AR18/1000000</f>
        <v>0</v>
      </c>
      <c r="AJ18" s="4">
        <f>'Ajuste de Volumen'!AJ18*$AR18/1000000</f>
        <v>0</v>
      </c>
      <c r="AK18" s="4">
        <f t="shared" si="0"/>
        <v>3533.8970000000036</v>
      </c>
      <c r="AL18" s="4">
        <f>AVERAGE($AK$18:$AK$24)</f>
        <v>3257.0168571428576</v>
      </c>
      <c r="AM18" s="4">
        <f>'Ajuste de Volumen'!AM18*AR18/1000000</f>
        <v>3533.8970000000031</v>
      </c>
      <c r="AN18" s="4">
        <f t="shared" ref="AN18:AN23" si="5">AVERAGE($AM$18:$AM$24)</f>
        <v>3257.0168571428576</v>
      </c>
      <c r="AO18" s="4">
        <f>'Ajuste de Volumen'!AO18*AR18/1000000</f>
        <v>3533.8970000000031</v>
      </c>
      <c r="AP18" s="19">
        <f t="shared" si="3"/>
        <v>0</v>
      </c>
      <c r="AQ18" s="19">
        <f t="shared" si="4"/>
        <v>7.8349805570775061E-2</v>
      </c>
      <c r="AR18" s="4">
        <v>36343.130701276299</v>
      </c>
    </row>
    <row r="19" spans="1:44" x14ac:dyDescent="0.2">
      <c r="A19" s="296">
        <f>'Ajuste de Volumen'!A19</f>
        <v>20130309</v>
      </c>
      <c r="B19" s="4">
        <f>'Ajuste de Volumen'!B19*AR19/1000000</f>
        <v>0</v>
      </c>
      <c r="C19" s="4">
        <f>'Ajuste de Volumen'!C19*AR19/1000000</f>
        <v>99.723928571428502</v>
      </c>
      <c r="D19" s="4">
        <f>'Ajuste de Volumen'!D19*AR19/1000000</f>
        <v>3.78238095238095</v>
      </c>
      <c r="E19" s="4">
        <f>'Ajuste de Volumen'!E19*AR19/1000000</f>
        <v>77.175119047619006</v>
      </c>
      <c r="F19" s="4">
        <f>'Ajuste de Volumen'!F19*AR19/1000000</f>
        <v>38.442083333333308</v>
      </c>
      <c r="G19" s="4">
        <f>'Ajuste de Volumen'!G19*AR19/1000000</f>
        <v>280.29624999999982</v>
      </c>
      <c r="H19" s="4">
        <f>'Ajuste de Volumen'!H19*AR19/1000000</f>
        <v>38.805773809523785</v>
      </c>
      <c r="I19" s="4">
        <f>'Ajuste de Volumen'!I19*AR19/1000000</f>
        <v>403.66005952380925</v>
      </c>
      <c r="J19" s="4">
        <f>'Ajuste de Volumen'!J19*AR19/1000000</f>
        <v>15.493214285714275</v>
      </c>
      <c r="K19" s="4">
        <f>'Ajuste de Volumen'!K19*AR19/1000000</f>
        <v>311.82821428571407</v>
      </c>
      <c r="L19" s="4">
        <f>'Ajuste de Volumen'!L19*AR19/1000000</f>
        <v>1.2729166666666658</v>
      </c>
      <c r="M19" s="4">
        <f>'Ajuste de Volumen'!M19*AR19/1000000</f>
        <v>0</v>
      </c>
      <c r="N19" s="4">
        <f>'Ajuste de Volumen'!N19*AR19/1000000</f>
        <v>322.59345238095216</v>
      </c>
      <c r="O19" s="4">
        <f>'Ajuste de Volumen'!O19*AR19/1000000</f>
        <v>234.90767857142842</v>
      </c>
      <c r="P19" s="4">
        <f>'Ajuste de Volumen'!P19*AR19/1000000</f>
        <v>8.4376190476190427</v>
      </c>
      <c r="Q19" s="4">
        <f>'Ajuste de Volumen'!Q19*AR19/1000000</f>
        <v>7.8920833333333285</v>
      </c>
      <c r="R19" s="4">
        <f>'Ajuste de Volumen'!R19*AR19/1000000</f>
        <v>13.892976190476181</v>
      </c>
      <c r="S19" s="4">
        <f>'Ajuste de Volumen'!S19*AR19/1000000</f>
        <v>202.93928571428557</v>
      </c>
      <c r="T19" s="4">
        <f>'Ajuste de Volumen'!T19*AR19/1000000</f>
        <v>13.201964285714277</v>
      </c>
      <c r="U19" s="4">
        <f>'Ajuste de Volumen'!U19*AR19/1000000</f>
        <v>0</v>
      </c>
      <c r="V19" s="4">
        <f>'Ajuste de Volumen'!V19*AR19/1000000</f>
        <v>0</v>
      </c>
      <c r="W19" s="4">
        <f>'Ajuste de Volumen'!W19*AR19/1000000</f>
        <v>0</v>
      </c>
      <c r="X19" s="4">
        <f>'Ajuste de Volumen'!X19*AR19/1000000</f>
        <v>0</v>
      </c>
      <c r="Y19" s="4">
        <f>'Ajuste de Volumen'!Y19*AR19/1000000</f>
        <v>0</v>
      </c>
      <c r="Z19" s="4">
        <f>'Ajuste de Volumen'!Z19*AS19/1000000</f>
        <v>0</v>
      </c>
      <c r="AA19" s="4">
        <f>'Ajuste de Volumen'!AA19*AR19/1000000</f>
        <v>0</v>
      </c>
      <c r="AB19" s="4">
        <f>'Ajuste de Volumen'!AB19*AR19/1000000</f>
        <v>0</v>
      </c>
      <c r="AC19" s="4">
        <f>'Ajuste de Volumen'!AC19*$AR19/1000000</f>
        <v>0</v>
      </c>
      <c r="AD19" s="4">
        <f>'Ajuste de Volumen'!AD19*$AR19/1000000</f>
        <v>0</v>
      </c>
      <c r="AE19" s="4">
        <f>'Ajuste de Volumen'!AE19*$AR19/1000000</f>
        <v>0</v>
      </c>
      <c r="AF19" s="4">
        <f>'Ajuste de Volumen'!AF19*$AR19/1000000</f>
        <v>0</v>
      </c>
      <c r="AG19" s="4">
        <f>'Ajuste de Volumen'!AG19*$AR19/1000000</f>
        <v>0</v>
      </c>
      <c r="AH19" s="4">
        <f>'Ajuste de Volumen'!AH19*$AR19/1000000</f>
        <v>0</v>
      </c>
      <c r="AI19" s="4">
        <f>'Ajuste de Volumen'!AI19*$AR19/1000000</f>
        <v>0</v>
      </c>
      <c r="AJ19" s="4">
        <f>'Ajuste de Volumen'!AJ19*$AR19/1000000</f>
        <v>0</v>
      </c>
      <c r="AK19" s="4">
        <f t="shared" si="0"/>
        <v>2074.3449999999989</v>
      </c>
      <c r="AL19" s="4">
        <f t="shared" ref="AL19:AL24" si="6">AVERAGE($AK$18:$AK$24)</f>
        <v>3257.0168571428576</v>
      </c>
      <c r="AM19" s="4">
        <f>'Ajuste de Volumen'!AM19*AR19/1000000</f>
        <v>2074.3449999999989</v>
      </c>
      <c r="AN19" s="4">
        <f t="shared" si="5"/>
        <v>3257.0168571428576</v>
      </c>
      <c r="AO19" s="4">
        <f>'Ajuste de Volumen'!AO19*AR19/1000000</f>
        <v>2074.3449999999989</v>
      </c>
      <c r="AP19" s="19">
        <f t="shared" si="3"/>
        <v>0</v>
      </c>
      <c r="AQ19" s="19">
        <f t="shared" si="4"/>
        <v>-0.57014231342561594</v>
      </c>
      <c r="AR19" s="4">
        <v>36369.047619047597</v>
      </c>
    </row>
    <row r="20" spans="1:44" x14ac:dyDescent="0.2">
      <c r="A20" s="296">
        <f>'Ajuste de Volumen'!A20</f>
        <v>20130310</v>
      </c>
      <c r="B20" s="4">
        <f>'Ajuste de Volumen'!B20*AR20/1000000</f>
        <v>0.2549437244981228</v>
      </c>
      <c r="C20" s="4">
        <f>'Ajuste de Volumen'!C20*AR20/1000000</f>
        <v>41.118780708340097</v>
      </c>
      <c r="D20" s="4">
        <f>'Ajuste de Volumen'!D20*AR20/1000000</f>
        <v>20.796123812632587</v>
      </c>
      <c r="E20" s="4">
        <f>'Ajuste de Volumen'!E20*AR20/1000000</f>
        <v>107.40414907785203</v>
      </c>
      <c r="F20" s="4">
        <f>'Ajuste de Volumen'!F20*AR20/1000000</f>
        <v>0.182102660355802</v>
      </c>
      <c r="G20" s="4">
        <f>'Ajuste de Volumen'!G20*AR20/1000000</f>
        <v>241.28602497143766</v>
      </c>
      <c r="H20" s="4">
        <f>'Ajuste de Volumen'!H20*AR20/1000000</f>
        <v>38.241558674718419</v>
      </c>
      <c r="I20" s="4">
        <f>'Ajuste de Volumen'!I20*AR20/1000000</f>
        <v>410.53223750612</v>
      </c>
      <c r="J20" s="4">
        <f>'Ajuste de Volumen'!J20*AR20/1000000</f>
        <v>13.366335270115867</v>
      </c>
      <c r="K20" s="4">
        <f>'Ajuste de Volumen'!K20*AR20/1000000</f>
        <v>422.95163894238573</v>
      </c>
      <c r="L20" s="4">
        <f>'Ajuste de Volumen'!L20*AR20/1000000</f>
        <v>8.8501892932919759</v>
      </c>
      <c r="M20" s="4">
        <f>'Ajuste de Volumen'!M20*AR20/1000000</f>
        <v>2.1123908601273031</v>
      </c>
      <c r="N20" s="4">
        <f>'Ajuste de Volumen'!N20*AR20/1000000</f>
        <v>362.3478735759748</v>
      </c>
      <c r="O20" s="4">
        <f>'Ajuste de Volumen'!O20*AR20/1000000</f>
        <v>245.91143254447502</v>
      </c>
      <c r="P20" s="4">
        <f>'Ajuste de Volumen'!P20*AR20/1000000</f>
        <v>93.09087997388599</v>
      </c>
      <c r="Q20" s="4">
        <f>'Ajuste de Volumen'!Q20*AR20/1000000</f>
        <v>8.9594508895054599</v>
      </c>
      <c r="R20" s="4">
        <f>'Ajuste de Volumen'!R20*AR20/1000000</f>
        <v>0</v>
      </c>
      <c r="S20" s="4">
        <f>'Ajuste de Volumen'!S20*AR20/1000000</f>
        <v>208.25260238289516</v>
      </c>
      <c r="T20" s="4">
        <f>'Ajuste de Volumen'!T20*AR20/1000000</f>
        <v>5.827285131385664</v>
      </c>
      <c r="U20" s="4">
        <f>'Ajuste de Volumen'!U20*AR20/1000000</f>
        <v>0</v>
      </c>
      <c r="V20" s="4">
        <f>'Ajuste de Volumen'!V20*AR20/1000000</f>
        <v>0</v>
      </c>
      <c r="W20" s="4">
        <f>'Ajuste de Volumen'!W20*AR20/1000000</f>
        <v>0</v>
      </c>
      <c r="X20" s="4">
        <f>'Ajuste de Volumen'!X20*AR20/1000000</f>
        <v>0</v>
      </c>
      <c r="Y20" s="4">
        <f>'Ajuste de Volumen'!Y20*AR20/1000000</f>
        <v>0</v>
      </c>
      <c r="Z20" s="4">
        <f>'Ajuste de Volumen'!Z20*AS20/1000000</f>
        <v>0</v>
      </c>
      <c r="AA20" s="4">
        <f>'Ajuste de Volumen'!AA20*AR20/1000000</f>
        <v>0</v>
      </c>
      <c r="AB20" s="4">
        <f>'Ajuste de Volumen'!AB20*AR20/1000000</f>
        <v>0</v>
      </c>
      <c r="AC20" s="4">
        <f>'Ajuste de Volumen'!AC20*$AR20/1000000</f>
        <v>0</v>
      </c>
      <c r="AD20" s="4">
        <f>'Ajuste de Volumen'!AD20*$AR20/1000000</f>
        <v>0</v>
      </c>
      <c r="AE20" s="4">
        <f>'Ajuste de Volumen'!AE20*$AR20/1000000</f>
        <v>0</v>
      </c>
      <c r="AF20" s="4">
        <f>'Ajuste de Volumen'!AF20*$AR20/1000000</f>
        <v>0</v>
      </c>
      <c r="AG20" s="4">
        <f>'Ajuste de Volumen'!AG20*$AR20/1000000</f>
        <v>0</v>
      </c>
      <c r="AH20" s="4">
        <f>'Ajuste de Volumen'!AH20*$AR20/1000000</f>
        <v>0</v>
      </c>
      <c r="AI20" s="4">
        <f>'Ajuste de Volumen'!AI20*$AR20/1000000</f>
        <v>0</v>
      </c>
      <c r="AJ20" s="4">
        <f>'Ajuste de Volumen'!AJ20*$AR20/1000000</f>
        <v>0</v>
      </c>
      <c r="AK20" s="4">
        <f t="shared" si="0"/>
        <v>2231.4859999999976</v>
      </c>
      <c r="AL20" s="4">
        <f t="shared" si="6"/>
        <v>3257.0168571428576</v>
      </c>
      <c r="AM20" s="4">
        <f>'Ajuste de Volumen'!AM20*AR20/1000000</f>
        <v>2231.4859999999976</v>
      </c>
      <c r="AN20" s="4">
        <f t="shared" si="5"/>
        <v>3257.0168571428576</v>
      </c>
      <c r="AO20" s="4">
        <f>'Ajuste de Volumen'!AO20*AR20/1000000</f>
        <v>2231.4859999999976</v>
      </c>
      <c r="AP20" s="19">
        <f t="shared" si="3"/>
        <v>0</v>
      </c>
      <c r="AQ20" s="19">
        <f t="shared" si="4"/>
        <v>-0.45957306348453947</v>
      </c>
      <c r="AR20" s="4">
        <v>36420.5320711604</v>
      </c>
    </row>
    <row r="21" spans="1:44" x14ac:dyDescent="0.2">
      <c r="A21" s="296">
        <f>'Ajuste de Volumen'!A21</f>
        <v>20130311</v>
      </c>
      <c r="B21" s="4">
        <f>'Ajuste de Volumen'!B21*AR21/1000000</f>
        <v>2.9813114697281522</v>
      </c>
      <c r="C21" s="4">
        <f>'Ajuste de Volumen'!C21*AR21/1000000</f>
        <v>212.363906032709</v>
      </c>
      <c r="D21" s="4">
        <f>'Ajuste de Volumen'!D21*AR21/1000000</f>
        <v>44.610599675078568</v>
      </c>
      <c r="E21" s="4">
        <f>'Ajuste de Volumen'!E21*AR21/1000000</f>
        <v>136.23139118379743</v>
      </c>
      <c r="F21" s="4">
        <f>'Ajuste de Volumen'!F21*AR21/1000000</f>
        <v>0.18178728473952149</v>
      </c>
      <c r="G21" s="4">
        <f>'Ajuste de Volumen'!G21*AR21/1000000</f>
        <v>293.47739248348353</v>
      </c>
      <c r="H21" s="4">
        <f>'Ajuste de Volumen'!H21*AR21/1000000</f>
        <v>37.702682854976757</v>
      </c>
      <c r="I21" s="4">
        <f>'Ajuste de Volumen'!I21*AR21/1000000</f>
        <v>348.4135099317669</v>
      </c>
      <c r="J21" s="4">
        <f>'Ajuste de Volumen'!J21*AR21/1000000</f>
        <v>61.153242586375029</v>
      </c>
      <c r="K21" s="4">
        <f>'Ajuste de Volumen'!K21*AR21/1000000</f>
        <v>870.07030222029778</v>
      </c>
      <c r="L21" s="4">
        <f>'Ajuste de Volumen'!L21*AR21/1000000</f>
        <v>68.315661605112183</v>
      </c>
      <c r="M21" s="4">
        <f>'Ajuste de Volumen'!M21*AR21/1000000</f>
        <v>20.032958778295267</v>
      </c>
      <c r="N21" s="4">
        <f>'Ajuste de Volumen'!N21*AR21/1000000</f>
        <v>401.78625673129039</v>
      </c>
      <c r="O21" s="4">
        <f>'Ajuste de Volumen'!O21*AR21/1000000</f>
        <v>331.50729245099137</v>
      </c>
      <c r="P21" s="4">
        <f>'Ajuste de Volumen'!P21*AR21/1000000</f>
        <v>103.83689704321468</v>
      </c>
      <c r="Q21" s="4">
        <f>'Ajuste de Volumen'!Q21*AR21/1000000</f>
        <v>17.560651705837774</v>
      </c>
      <c r="R21" s="4">
        <f>'Ajuste de Volumen'!R21*AR21/1000000</f>
        <v>12.94325467345393</v>
      </c>
      <c r="S21" s="4">
        <f>'Ajuste de Volumen'!S21*AR21/1000000</f>
        <v>194.00339027401733</v>
      </c>
      <c r="T21" s="4">
        <f>'Ajuste de Volumen'!T21*AR21/1000000</f>
        <v>199.71151101483829</v>
      </c>
      <c r="U21" s="4">
        <f>'Ajuste de Volumen'!U21*AR21/1000000</f>
        <v>0</v>
      </c>
      <c r="V21" s="4">
        <f>'Ajuste de Volumen'!V21*AR21/1000000</f>
        <v>0</v>
      </c>
      <c r="W21" s="4">
        <f>'Ajuste de Volumen'!W21*AR21/1000000</f>
        <v>0</v>
      </c>
      <c r="X21" s="4">
        <f>'Ajuste de Volumen'!X21*AR21/1000000</f>
        <v>0</v>
      </c>
      <c r="Y21" s="4">
        <f>'Ajuste de Volumen'!Y21*AR21/1000000</f>
        <v>0</v>
      </c>
      <c r="Z21" s="4">
        <f>'Ajuste de Volumen'!Z21*AS21/1000000</f>
        <v>0</v>
      </c>
      <c r="AA21" s="4">
        <f>'Ajuste de Volumen'!AA21*AR21/1000000</f>
        <v>0</v>
      </c>
      <c r="AB21" s="4">
        <f>'Ajuste de Volumen'!AB21*AR21/1000000</f>
        <v>0</v>
      </c>
      <c r="AC21" s="4">
        <f>'Ajuste de Volumen'!AC21*$AR21/1000000</f>
        <v>0</v>
      </c>
      <c r="AD21" s="4">
        <f>'Ajuste de Volumen'!AD21*$AR21/1000000</f>
        <v>0</v>
      </c>
      <c r="AE21" s="4">
        <f>'Ajuste de Volumen'!AE21*$AR21/1000000</f>
        <v>0</v>
      </c>
      <c r="AF21" s="4">
        <f>'Ajuste de Volumen'!AF21*$AR21/1000000</f>
        <v>0</v>
      </c>
      <c r="AG21" s="4">
        <f>'Ajuste de Volumen'!AG21*$AR21/1000000</f>
        <v>0</v>
      </c>
      <c r="AH21" s="4">
        <f>'Ajuste de Volumen'!AH21*$AR21/1000000</f>
        <v>0</v>
      </c>
      <c r="AI21" s="4">
        <f>'Ajuste de Volumen'!AI21*$AR21/1000000</f>
        <v>0</v>
      </c>
      <c r="AJ21" s="4">
        <f>'Ajuste de Volumen'!AJ21*$AR21/1000000</f>
        <v>0</v>
      </c>
      <c r="AK21" s="4">
        <f t="shared" si="0"/>
        <v>3356.8840000000041</v>
      </c>
      <c r="AL21" s="4">
        <f t="shared" si="6"/>
        <v>3257.0168571428576</v>
      </c>
      <c r="AM21" s="4">
        <f>'Ajuste de Volumen'!AM21*AR21/1000000</f>
        <v>3356.8840000000037</v>
      </c>
      <c r="AN21" s="4">
        <f t="shared" si="5"/>
        <v>3257.0168571428576</v>
      </c>
      <c r="AO21" s="4">
        <f>'Ajuste de Volumen'!AO21*AR21/1000000</f>
        <v>3356.8840000000037</v>
      </c>
      <c r="AP21" s="19">
        <f t="shared" si="3"/>
        <v>0</v>
      </c>
      <c r="AQ21" s="19">
        <f t="shared" si="4"/>
        <v>2.9749953485776082E-2</v>
      </c>
      <c r="AR21" s="4">
        <v>36357.456947904298</v>
      </c>
    </row>
    <row r="22" spans="1:44" x14ac:dyDescent="0.2">
      <c r="A22" s="296">
        <f>'Ajuste de Volumen'!A22</f>
        <v>20130312</v>
      </c>
      <c r="B22" s="4">
        <f>'Ajuste de Volumen'!B22*AR22/1000000</f>
        <v>2.5461158787971971</v>
      </c>
      <c r="C22" s="4">
        <f>'Ajuste de Volumen'!C22*AR22/1000000</f>
        <v>211.65497569601271</v>
      </c>
      <c r="D22" s="4">
        <f>'Ajuste de Volumen'!D22*AR22/1000000</f>
        <v>60.597557915373287</v>
      </c>
      <c r="E22" s="4">
        <f>'Ajuste de Volumen'!E22*AR22/1000000</f>
        <v>139.41803090613794</v>
      </c>
      <c r="F22" s="4">
        <f>'Ajuste de Volumen'!F22*AR22/1000000</f>
        <v>135.34424550006244</v>
      </c>
      <c r="G22" s="4">
        <f>'Ajuste de Volumen'!G22*AR22/1000000</f>
        <v>353.58274939696503</v>
      </c>
      <c r="H22" s="4">
        <f>'Ajuste de Volumen'!H22*AR22/1000000</f>
        <v>36.482203234765542</v>
      </c>
      <c r="I22" s="4">
        <f>'Ajuste de Volumen'!I22*AR22/1000000</f>
        <v>397.26682326032835</v>
      </c>
      <c r="J22" s="4">
        <f>'Ajuste de Volumen'!J22*AR22/1000000</f>
        <v>69.581709659129118</v>
      </c>
      <c r="K22" s="4">
        <f>'Ajuste de Volumen'!K22*AR22/1000000</f>
        <v>1013.4268659292499</v>
      </c>
      <c r="L22" s="4">
        <f>'Ajuste de Volumen'!L22*AR22/1000000</f>
        <v>66.126266680761503</v>
      </c>
      <c r="M22" s="4">
        <f>'Ajuste de Volumen'!M22*AR22/1000000</f>
        <v>14.003637333384585</v>
      </c>
      <c r="N22" s="4">
        <f>'Ajuste de Volumen'!N22*AR22/1000000</f>
        <v>358.56586190261095</v>
      </c>
      <c r="O22" s="4">
        <f>'Ajuste de Volumen'!O22*AR22/1000000</f>
        <v>314.8454149552648</v>
      </c>
      <c r="P22" s="4">
        <f>'Ajuste de Volumen'!P22*AR22/1000000</f>
        <v>100.97168113630026</v>
      </c>
      <c r="Q22" s="4">
        <f>'Ajuste de Volumen'!Q22*AR22/1000000</f>
        <v>10.693686690948228</v>
      </c>
      <c r="R22" s="4">
        <f>'Ajuste de Volumen'!R22*AR22/1000000</f>
        <v>59.251753808009056</v>
      </c>
      <c r="S22" s="4">
        <f>'Ajuste de Volumen'!S22*AR22/1000000</f>
        <v>194.70511856001994</v>
      </c>
      <c r="T22" s="4">
        <f>'Ajuste de Volumen'!T22*AR22/1000000</f>
        <v>245.80930155587794</v>
      </c>
      <c r="U22" s="4">
        <f>'Ajuste de Volumen'!U22*AR22/1000000</f>
        <v>0</v>
      </c>
      <c r="V22" s="4">
        <f>'Ajuste de Volumen'!V22*AR22/1000000</f>
        <v>0</v>
      </c>
      <c r="W22" s="4">
        <f>'Ajuste de Volumen'!W22*AR22/1000000</f>
        <v>0</v>
      </c>
      <c r="X22" s="4">
        <f>'Ajuste de Volumen'!X22*AR22/1000000</f>
        <v>0</v>
      </c>
      <c r="Y22" s="4">
        <f>'Ajuste de Volumen'!Y22*AR22/1000000</f>
        <v>0</v>
      </c>
      <c r="Z22" s="4">
        <f>'Ajuste de Volumen'!Z22*AS22/1000000</f>
        <v>0</v>
      </c>
      <c r="AA22" s="4">
        <f>'Ajuste de Volumen'!AA22*AR22/1000000</f>
        <v>0</v>
      </c>
      <c r="AB22" s="4">
        <f>'Ajuste de Volumen'!AB22*AR22/1000000</f>
        <v>0</v>
      </c>
      <c r="AC22" s="4">
        <f>'Ajuste de Volumen'!AC22*$AR22/1000000</f>
        <v>0</v>
      </c>
      <c r="AD22" s="4">
        <f>'Ajuste de Volumen'!AD22*$AR22/1000000</f>
        <v>0</v>
      </c>
      <c r="AE22" s="4">
        <f>'Ajuste de Volumen'!AE22*$AR22/1000000</f>
        <v>0</v>
      </c>
      <c r="AF22" s="4">
        <f>'Ajuste de Volumen'!AF22*$AR22/1000000</f>
        <v>0</v>
      </c>
      <c r="AG22" s="4">
        <f>'Ajuste de Volumen'!AG22*$AR22/1000000</f>
        <v>0</v>
      </c>
      <c r="AH22" s="4">
        <f>'Ajuste de Volumen'!AH22*$AR22/1000000</f>
        <v>0</v>
      </c>
      <c r="AI22" s="4">
        <f>'Ajuste de Volumen'!AI22*$AR22/1000000</f>
        <v>0</v>
      </c>
      <c r="AJ22" s="4">
        <f>'Ajuste de Volumen'!AJ22*$AR22/1000000</f>
        <v>0</v>
      </c>
      <c r="AK22" s="4">
        <f t="shared" si="0"/>
        <v>3784.8739999999984</v>
      </c>
      <c r="AL22" s="4">
        <f t="shared" si="6"/>
        <v>3257.0168571428576</v>
      </c>
      <c r="AM22" s="4">
        <f>'Ajuste de Volumen'!AM22*AR22/1000000</f>
        <v>3784.8739999999989</v>
      </c>
      <c r="AN22" s="4">
        <f t="shared" si="5"/>
        <v>3257.0168571428576</v>
      </c>
      <c r="AO22" s="4">
        <f>'Ajuste de Volumen'!AO22*AR22/1000000</f>
        <v>3784.8739999999989</v>
      </c>
      <c r="AP22" s="19">
        <f t="shared" si="3"/>
        <v>0</v>
      </c>
      <c r="AQ22" s="19">
        <f t="shared" si="4"/>
        <v>0.13946491821316678</v>
      </c>
      <c r="AR22" s="4">
        <v>36373.083982817101</v>
      </c>
    </row>
    <row r="23" spans="1:44" x14ac:dyDescent="0.2">
      <c r="A23" s="296">
        <f>'Ajuste de Volumen'!A23</f>
        <v>20130313</v>
      </c>
      <c r="B23" s="4">
        <f>'Ajuste de Volumen'!B23*AR23/1000000</f>
        <v>0.6531612393383659</v>
      </c>
      <c r="C23" s="4">
        <f>'Ajuste de Volumen'!C23*AR23/1000000</f>
        <v>243.37513512457886</v>
      </c>
      <c r="D23" s="4">
        <f>'Ajuste de Volumen'!D23*AR23/1000000</f>
        <v>55.010691046497918</v>
      </c>
      <c r="E23" s="4">
        <f>'Ajuste de Volumen'!E23*AR23/1000000</f>
        <v>153.27517083140316</v>
      </c>
      <c r="F23" s="4">
        <f>'Ajuste de Volumen'!F23*AR23/1000000</f>
        <v>179.11132652078743</v>
      </c>
      <c r="G23" s="4">
        <f>'Ajuste de Volumen'!G23*AR23/1000000</f>
        <v>411.05613995694489</v>
      </c>
      <c r="H23" s="4">
        <f>'Ajuste de Volumen'!H23*AR23/1000000</f>
        <v>39.407394773414737</v>
      </c>
      <c r="I23" s="4">
        <f>'Ajuste de Volumen'!I23*AR23/1000000</f>
        <v>413.52363797222318</v>
      </c>
      <c r="J23" s="4">
        <f>'Ajuste de Volumen'!J23*AR23/1000000</f>
        <v>61.360869762287585</v>
      </c>
      <c r="K23" s="4">
        <f>'Ajuste de Volumen'!K23*AR23/1000000</f>
        <v>1027.9669305120315</v>
      </c>
      <c r="L23" s="4">
        <f>'Ajuste de Volumen'!L23*AR23/1000000</f>
        <v>66.223292321806539</v>
      </c>
      <c r="M23" s="4">
        <f>'Ajuste de Volumen'!M23*AR23/1000000</f>
        <v>13.498665612992895</v>
      </c>
      <c r="N23" s="4">
        <f>'Ajuste de Volumen'!N23*AR23/1000000</f>
        <v>370.08841555622183</v>
      </c>
      <c r="O23" s="4">
        <f>'Ajuste de Volumen'!O23*AR23/1000000</f>
        <v>337.10377296963435</v>
      </c>
      <c r="P23" s="4">
        <f>'Ajuste de Volumen'!P23*AR23/1000000</f>
        <v>105.66697383074006</v>
      </c>
      <c r="Q23" s="4">
        <f>'Ajuste de Volumen'!Q23*AR23/1000000</f>
        <v>10.740873713564238</v>
      </c>
      <c r="R23" s="4">
        <f>'Ajuste de Volumen'!R23*AR23/1000000</f>
        <v>59.219952366678498</v>
      </c>
      <c r="S23" s="4">
        <f>'Ajuste de Volumen'!S23*AR23/1000000</f>
        <v>217.75669984830739</v>
      </c>
      <c r="T23" s="4">
        <f>'Ajuste de Volumen'!T23*AR23/1000000</f>
        <v>229.80389604054838</v>
      </c>
      <c r="U23" s="4">
        <f>'Ajuste de Volumen'!U23*AR23/1000000</f>
        <v>0</v>
      </c>
      <c r="V23" s="4">
        <f>'Ajuste de Volumen'!V23*AR23/1000000</f>
        <v>0</v>
      </c>
      <c r="W23" s="4">
        <f>'Ajuste de Volumen'!W23*AR23/1000000</f>
        <v>0</v>
      </c>
      <c r="X23" s="4">
        <f>'Ajuste de Volumen'!X23*AR23/1000000</f>
        <v>0</v>
      </c>
      <c r="Y23" s="4">
        <f>'Ajuste de Volumen'!Y23*AR23/1000000</f>
        <v>0</v>
      </c>
      <c r="Z23" s="4">
        <f>'Ajuste de Volumen'!Z23*AS23/1000000</f>
        <v>0</v>
      </c>
      <c r="AA23" s="4">
        <f>'Ajuste de Volumen'!AA23*AR23/1000000</f>
        <v>0</v>
      </c>
      <c r="AB23" s="4">
        <f>'Ajuste de Volumen'!AB23*AR23/1000000</f>
        <v>0</v>
      </c>
      <c r="AC23" s="4">
        <f>'Ajuste de Volumen'!AC23*$AR23/1000000</f>
        <v>0</v>
      </c>
      <c r="AD23" s="4">
        <f>'Ajuste de Volumen'!AD23*$AR23/1000000</f>
        <v>0</v>
      </c>
      <c r="AE23" s="4">
        <f>'Ajuste de Volumen'!AE23*$AR23/1000000</f>
        <v>0</v>
      </c>
      <c r="AF23" s="4">
        <f>'Ajuste de Volumen'!AF23*$AR23/1000000</f>
        <v>0</v>
      </c>
      <c r="AG23" s="4">
        <f>'Ajuste de Volumen'!AG23*$AR23/1000000</f>
        <v>0</v>
      </c>
      <c r="AH23" s="4">
        <f>'Ajuste de Volumen'!AH23*$AR23/1000000</f>
        <v>0</v>
      </c>
      <c r="AI23" s="4">
        <f>'Ajuste de Volumen'!AI23*$AR23/1000000</f>
        <v>0</v>
      </c>
      <c r="AJ23" s="4">
        <f>'Ajuste de Volumen'!AJ23*$AR23/1000000</f>
        <v>0</v>
      </c>
      <c r="AK23" s="4">
        <f t="shared" si="0"/>
        <v>3994.8430000000021</v>
      </c>
      <c r="AL23" s="4">
        <f t="shared" si="6"/>
        <v>3257.0168571428576</v>
      </c>
      <c r="AM23" s="4">
        <f>'Ajuste de Volumen'!AM23*AR23/1000000</f>
        <v>3994.8430000000021</v>
      </c>
      <c r="AN23" s="4">
        <f t="shared" si="5"/>
        <v>3257.0168571428576</v>
      </c>
      <c r="AO23" s="4">
        <f>'Ajuste de Volumen'!AO23*AR23/1000000</f>
        <v>3994.8430000000021</v>
      </c>
      <c r="AP23" s="19">
        <f t="shared" si="3"/>
        <v>0</v>
      </c>
      <c r="AQ23" s="19">
        <f t="shared" si="4"/>
        <v>0.18469465329604798</v>
      </c>
      <c r="AR23" s="4">
        <v>36286.735518798101</v>
      </c>
    </row>
    <row r="24" spans="1:44" x14ac:dyDescent="0.2">
      <c r="A24" s="296">
        <f>'Ajuste de Volumen'!A24</f>
        <v>20130314</v>
      </c>
      <c r="B24" s="4">
        <f>'Ajuste de Volumen'!B24*AR24/1000000</f>
        <v>3.6192770513997899E-2</v>
      </c>
      <c r="C24" s="4">
        <f>'Ajuste de Volumen'!C24*AR24/1000000</f>
        <v>201.01464743474432</v>
      </c>
      <c r="D24" s="4">
        <f>'Ajuste de Volumen'!D24*AR24/1000000</f>
        <v>49.041204046467158</v>
      </c>
      <c r="E24" s="4">
        <f>'Ajuste de Volumen'!E24*AR24/1000000</f>
        <v>142.9252507597777</v>
      </c>
      <c r="F24" s="4">
        <f>'Ajuste de Volumen'!F24*AR24/1000000</f>
        <v>179.47994897891562</v>
      </c>
      <c r="G24" s="4">
        <f>'Ajuste de Volumen'!G24*AR24/1000000</f>
        <v>336.01368145195653</v>
      </c>
      <c r="H24" s="4">
        <f>'Ajuste de Volumen'!H24*AR24/1000000</f>
        <v>42.490312583433536</v>
      </c>
      <c r="I24" s="4">
        <f>'Ajuste de Volumen'!I24*AR24/1000000</f>
        <v>414.26245130321996</v>
      </c>
      <c r="J24" s="4">
        <f>'Ajuste de Volumen'!J24*AR24/1000000</f>
        <v>62.830649612300341</v>
      </c>
      <c r="K24" s="4">
        <f>'Ajuste de Volumen'!K24*AR24/1000000</f>
        <v>1000.5853336299859</v>
      </c>
      <c r="L24" s="4">
        <f>'Ajuste de Volumen'!L24*AR24/1000000</f>
        <v>71.589300076687849</v>
      </c>
      <c r="M24" s="4">
        <f>'Ajuste de Volumen'!M24*AR24/1000000</f>
        <v>14.259951582515173</v>
      </c>
      <c r="N24" s="4">
        <f>'Ajuste de Volumen'!N24*AR24/1000000</f>
        <v>326.42259726574707</v>
      </c>
      <c r="O24" s="4">
        <f>'Ajuste de Volumen'!O24*AR24/1000000</f>
        <v>343.2884283252701</v>
      </c>
      <c r="P24" s="4">
        <f>'Ajuste de Volumen'!P24*AR24/1000000</f>
        <v>101.8102634558761</v>
      </c>
      <c r="Q24" s="4">
        <f>'Ajuste de Volumen'!Q24*AR24/1000000</f>
        <v>12.269349204245287</v>
      </c>
      <c r="R24" s="4">
        <f>'Ajuste de Volumen'!R24*AR24/1000000</f>
        <v>59.971420741694523</v>
      </c>
      <c r="S24" s="4">
        <f>'Ajuste de Volumen'!S24*AR24/1000000</f>
        <v>218.56814113403331</v>
      </c>
      <c r="T24" s="4">
        <f>'Ajuste de Volumen'!T24*AR24/1000000</f>
        <v>245.92987564261574</v>
      </c>
      <c r="U24" s="4">
        <f>'Ajuste de Volumen'!U24*AR24/1000000</f>
        <v>0</v>
      </c>
      <c r="V24" s="4">
        <f>'Ajuste de Volumen'!V24*AR24/1000000</f>
        <v>0</v>
      </c>
      <c r="W24" s="4">
        <f>'Ajuste de Volumen'!W24*AR24/1000000</f>
        <v>0</v>
      </c>
      <c r="X24" s="4">
        <f>'Ajuste de Volumen'!X24*AR24/1000000</f>
        <v>0</v>
      </c>
      <c r="Y24" s="4">
        <f>'Ajuste de Volumen'!Y24*AR24/1000000</f>
        <v>0</v>
      </c>
      <c r="Z24" s="4">
        <f>'Ajuste de Volumen'!Z24*AS24/1000000</f>
        <v>0</v>
      </c>
      <c r="AA24" s="4">
        <f>'Ajuste de Volumen'!AA24*AR24/1000000</f>
        <v>0</v>
      </c>
      <c r="AB24" s="4">
        <f>'Ajuste de Volumen'!AB24*AR24/1000000</f>
        <v>0</v>
      </c>
      <c r="AC24" s="4">
        <f>'Ajuste de Volumen'!AC24*$AR24/1000000</f>
        <v>0</v>
      </c>
      <c r="AD24" s="4">
        <f>'Ajuste de Volumen'!AD24*$AR24/1000000</f>
        <v>0</v>
      </c>
      <c r="AE24" s="4">
        <f>'Ajuste de Volumen'!AE24*$AR24/1000000</f>
        <v>0</v>
      </c>
      <c r="AF24" s="4">
        <f>'Ajuste de Volumen'!AF24*$AR24/1000000</f>
        <v>0</v>
      </c>
      <c r="AG24" s="4">
        <f>'Ajuste de Volumen'!AG24*$AR24/1000000</f>
        <v>0</v>
      </c>
      <c r="AH24" s="4">
        <f>'Ajuste de Volumen'!AH24*$AR24/1000000</f>
        <v>0</v>
      </c>
      <c r="AI24" s="4">
        <f>'Ajuste de Volumen'!AI24*$AR24/1000000</f>
        <v>0</v>
      </c>
      <c r="AJ24" s="4">
        <f>'Ajuste de Volumen'!AJ24*$AR24/1000000</f>
        <v>0</v>
      </c>
      <c r="AK24" s="4">
        <f t="shared" si="0"/>
        <v>3822.7889999999998</v>
      </c>
      <c r="AL24" s="4">
        <f t="shared" si="6"/>
        <v>3257.0168571428576</v>
      </c>
      <c r="AM24" s="4">
        <f>'Ajuste de Volumen'!AM24*AR24/1000000</f>
        <v>3822.7890000000007</v>
      </c>
      <c r="AN24" s="4">
        <f>AVERAGE($AM$18:$AM$24)</f>
        <v>3257.0168571428576</v>
      </c>
      <c r="AO24" s="4">
        <f>'Ajuste de Volumen'!AO24*AR24/1000000</f>
        <v>3822.7890000000007</v>
      </c>
      <c r="AP24" s="19">
        <f t="shared" si="3"/>
        <v>0</v>
      </c>
      <c r="AQ24" s="19">
        <f t="shared" si="4"/>
        <v>0.1479998354230754</v>
      </c>
      <c r="AR24" s="4">
        <v>36192.770513997901</v>
      </c>
    </row>
    <row r="25" spans="1:44" x14ac:dyDescent="0.2">
      <c r="A25" s="296">
        <f>'Ajuste de Volumen'!A25</f>
        <v>20130315</v>
      </c>
      <c r="B25" s="4">
        <f>'Ajuste de Volumen'!B25*AR25/1000000</f>
        <v>0</v>
      </c>
      <c r="C25" s="4">
        <f>'Ajuste de Volumen'!C25*AR25/1000000</f>
        <v>196.60886013436578</v>
      </c>
      <c r="D25" s="4">
        <f>'Ajuste de Volumen'!D25*AR25/1000000</f>
        <v>36.390046246677585</v>
      </c>
      <c r="E25" s="4">
        <f>'Ajuste de Volumen'!E25*AR25/1000000</f>
        <v>114.55718486114213</v>
      </c>
      <c r="F25" s="4">
        <f>'Ajuste de Volumen'!F25*AR25/1000000</f>
        <v>181.65705865536836</v>
      </c>
      <c r="G25" s="4">
        <f>'Ajuste de Volumen'!G25*AR25/1000000</f>
        <v>422.42503835393006</v>
      </c>
      <c r="H25" s="4">
        <f>'Ajuste de Volumen'!H25*AR25/1000000</f>
        <v>43.682714124914078</v>
      </c>
      <c r="I25" s="4">
        <f>'Ajuste de Volumen'!I25*AR25/1000000</f>
        <v>437.81659869995678</v>
      </c>
      <c r="J25" s="4">
        <f>'Ajuste de Volumen'!J25*AR25/1000000</f>
        <v>61.4929482396022</v>
      </c>
      <c r="K25" s="4">
        <f>'Ajuste de Volumen'!K25*AR25/1000000</f>
        <v>1019.5809332075163</v>
      </c>
      <c r="L25" s="4">
        <f>'Ajuste de Volumen'!L25*AR25/1000000</f>
        <v>70.031599574421818</v>
      </c>
      <c r="M25" s="4">
        <f>'Ajuste de Volumen'!M25*AR25/1000000</f>
        <v>17.297182103153901</v>
      </c>
      <c r="N25" s="4">
        <f>'Ajuste de Volumen'!N25*AR25/1000000</f>
        <v>398.38488695632628</v>
      </c>
      <c r="O25" s="4">
        <f>'Ajuste de Volumen'!O25*AR25/1000000</f>
        <v>301.78452249888204</v>
      </c>
      <c r="P25" s="4">
        <f>'Ajuste de Volumen'!P25*AR25/1000000</f>
        <v>120.56722271054305</v>
      </c>
      <c r="Q25" s="4">
        <f>'Ajuste de Volumen'!Q25*AR25/1000000</f>
        <v>10.334333375189406</v>
      </c>
      <c r="R25" s="4">
        <f>'Ajuste de Volumen'!R25*AR25/1000000</f>
        <v>60.063731921756855</v>
      </c>
      <c r="S25" s="4">
        <f>'Ajuste de Volumen'!S25*AR25/1000000</f>
        <v>218.34027748006548</v>
      </c>
      <c r="T25" s="4">
        <f>'Ajuste de Volumen'!T25*AR25/1000000</f>
        <v>230.87340519040157</v>
      </c>
      <c r="U25" s="4">
        <f>'Ajuste de Volumen'!U25*AR25/1000000</f>
        <v>0</v>
      </c>
      <c r="V25" s="4">
        <f>'Ajuste de Volumen'!V25*AR25/1000000</f>
        <v>0</v>
      </c>
      <c r="W25" s="4">
        <f>'Ajuste de Volumen'!W25*AR25/1000000</f>
        <v>0</v>
      </c>
      <c r="X25" s="4">
        <f>'Ajuste de Volumen'!X25*AR25/1000000</f>
        <v>0</v>
      </c>
      <c r="Y25" s="4">
        <f>'Ajuste de Volumen'!Y25*AR25/1000000</f>
        <v>0</v>
      </c>
      <c r="Z25" s="4">
        <f>'Ajuste de Volumen'!Z25*AS25/1000000</f>
        <v>0</v>
      </c>
      <c r="AA25" s="4">
        <f>'Ajuste de Volumen'!AA25*AR25/1000000</f>
        <v>0</v>
      </c>
      <c r="AB25" s="4">
        <f>'Ajuste de Volumen'!AB25*AR25/1000000</f>
        <v>0</v>
      </c>
      <c r="AC25" s="4">
        <f>'Ajuste de Volumen'!AC25*$AR25/1000000</f>
        <v>0</v>
      </c>
      <c r="AD25" s="4">
        <f>'Ajuste de Volumen'!AD25*$AR25/1000000</f>
        <v>0</v>
      </c>
      <c r="AE25" s="4">
        <f>'Ajuste de Volumen'!AE25*$AR25/1000000</f>
        <v>0</v>
      </c>
      <c r="AF25" s="4">
        <f>'Ajuste de Volumen'!AF25*$AR25/1000000</f>
        <v>0</v>
      </c>
      <c r="AG25" s="4">
        <f>'Ajuste de Volumen'!AG25*$AR25/1000000</f>
        <v>0</v>
      </c>
      <c r="AH25" s="4">
        <f>'Ajuste de Volumen'!AH25*$AR25/1000000</f>
        <v>0</v>
      </c>
      <c r="AI25" s="4">
        <f>'Ajuste de Volumen'!AI25*$AR25/1000000</f>
        <v>0</v>
      </c>
      <c r="AJ25" s="4">
        <f>'Ajuste de Volumen'!AJ25*$AR25/1000000</f>
        <v>0</v>
      </c>
      <c r="AK25" s="4">
        <f t="shared" si="0"/>
        <v>3941.8885443342133</v>
      </c>
      <c r="AL25" s="4">
        <f t="shared" ref="AL25:AL31" si="7">AVERAGE($AK$25:$AK$31)</f>
        <v>2759.85335633161</v>
      </c>
      <c r="AM25" s="4">
        <f>'Ajuste de Volumen'!AM25*AR25/1000000</f>
        <v>3941.8885443342137</v>
      </c>
      <c r="AN25" s="4">
        <f t="shared" ref="AN25:AN31" si="8">AVERAGE($AM$25:$AM$31)</f>
        <v>2759.85335633161</v>
      </c>
      <c r="AO25" s="4">
        <f>'Ajuste de Volumen'!AO25*AR25/1000000</f>
        <v>0</v>
      </c>
      <c r="AP25" s="19">
        <f t="shared" si="3"/>
        <v>0</v>
      </c>
      <c r="AQ25" s="19" t="e">
        <f t="shared" si="4"/>
        <v>#DIV/0!</v>
      </c>
      <c r="AR25" s="107">
        <v>36646.572252444697</v>
      </c>
    </row>
    <row r="26" spans="1:44" x14ac:dyDescent="0.2">
      <c r="A26" s="296">
        <f>'Ajuste de Volumen'!A26</f>
        <v>20130316</v>
      </c>
      <c r="B26" s="4">
        <f>'Ajuste de Volumen'!B26*AR26/1000000</f>
        <v>0</v>
      </c>
      <c r="C26" s="4">
        <f>'Ajuste de Volumen'!C26*AR26/1000000</f>
        <v>37.207180814059974</v>
      </c>
      <c r="D26" s="4">
        <f>'Ajuste de Volumen'!D26*AR26/1000000</f>
        <v>0.52632573512816083</v>
      </c>
      <c r="E26" s="4">
        <f>'Ajuste de Volumen'!E26*AR26/1000000</f>
        <v>65.10244477585249</v>
      </c>
      <c r="F26" s="4">
        <f>'Ajuste de Volumen'!F26*AR26/1000000</f>
        <v>35.142364468557197</v>
      </c>
      <c r="G26" s="4">
        <f>'Ajuste de Volumen'!G26*AR26/1000000</f>
        <v>371.58596900048144</v>
      </c>
      <c r="H26" s="4">
        <f>'Ajuste de Volumen'!H26*AR26/1000000</f>
        <v>46.397637881297861</v>
      </c>
      <c r="I26" s="4">
        <f>'Ajuste de Volumen'!I26*AR26/1000000</f>
        <v>308.71028695017117</v>
      </c>
      <c r="J26" s="4">
        <f>'Ajuste de Volumen'!J26*AR26/1000000</f>
        <v>10.121648752464631</v>
      </c>
      <c r="K26" s="4">
        <f>'Ajuste de Volumen'!K26*AR26/1000000</f>
        <v>342.07124123829465</v>
      </c>
      <c r="L26" s="4">
        <f>'Ajuste de Volumen'!L26*AR26/1000000</f>
        <v>35.304310848596621</v>
      </c>
      <c r="M26" s="4">
        <f>'Ajuste de Volumen'!M26*AR26/1000000</f>
        <v>7.6924530518731178</v>
      </c>
      <c r="N26" s="4">
        <f>'Ajuste de Volumen'!N26*AR26/1000000</f>
        <v>408.67169002951186</v>
      </c>
      <c r="O26" s="4">
        <f>'Ajuste de Volumen'!O26*AR26/1000000</f>
        <v>140.36702489917948</v>
      </c>
      <c r="P26" s="4">
        <f>'Ajuste de Volumen'!P26*AR26/1000000</f>
        <v>9.4738632323068934</v>
      </c>
      <c r="Q26" s="4">
        <f>'Ajuste de Volumen'!Q26*AR26/1000000</f>
        <v>6.6398015816167968</v>
      </c>
      <c r="R26" s="4">
        <f>'Ajuste de Volumen'!R26*AR26/1000000</f>
        <v>23.117845750629211</v>
      </c>
      <c r="S26" s="4">
        <f>'Ajuste de Volumen'!S26*AR26/1000000</f>
        <v>228.26342266558234</v>
      </c>
      <c r="T26" s="4">
        <f>'Ajuste de Volumen'!T26*AR26/1000000</f>
        <v>15.061013343667367</v>
      </c>
      <c r="U26" s="4">
        <f>'Ajuste de Volumen'!U26*AR26/1000000</f>
        <v>0</v>
      </c>
      <c r="V26" s="4">
        <f>'Ajuste de Volumen'!V26*AR26/1000000</f>
        <v>0</v>
      </c>
      <c r="W26" s="4">
        <f>'Ajuste de Volumen'!W26*AR26/1000000</f>
        <v>0</v>
      </c>
      <c r="X26" s="4">
        <f>'Ajuste de Volumen'!X26*AR26/1000000</f>
        <v>0</v>
      </c>
      <c r="Y26" s="4">
        <f>'Ajuste de Volumen'!Y26*AR26/1000000</f>
        <v>0</v>
      </c>
      <c r="Z26" s="4">
        <f>'Ajuste de Volumen'!Z26*AS26/1000000</f>
        <v>0</v>
      </c>
      <c r="AA26" s="4">
        <f>'Ajuste de Volumen'!AA26*AR26/1000000</f>
        <v>0</v>
      </c>
      <c r="AB26" s="4">
        <f>'Ajuste de Volumen'!AB26*AR26/1000000</f>
        <v>0</v>
      </c>
      <c r="AC26" s="4">
        <f>'Ajuste de Volumen'!AC26*$AR26/1000000</f>
        <v>0</v>
      </c>
      <c r="AD26" s="4">
        <f>'Ajuste de Volumen'!AD26*$AR26/1000000</f>
        <v>0</v>
      </c>
      <c r="AE26" s="4">
        <f>'Ajuste de Volumen'!AE26*$AR26/1000000</f>
        <v>0</v>
      </c>
      <c r="AF26" s="4">
        <f>'Ajuste de Volumen'!AF26*$AR26/1000000</f>
        <v>0</v>
      </c>
      <c r="AG26" s="4">
        <f>'Ajuste de Volumen'!AG26*$AR26/1000000</f>
        <v>0</v>
      </c>
      <c r="AH26" s="4">
        <f>'Ajuste de Volumen'!AH26*$AR26/1000000</f>
        <v>0</v>
      </c>
      <c r="AI26" s="4">
        <f>'Ajuste de Volumen'!AI26*$AR26/1000000</f>
        <v>0</v>
      </c>
      <c r="AJ26" s="4">
        <f>'Ajuste de Volumen'!AJ26*$AR26/1000000</f>
        <v>0</v>
      </c>
      <c r="AK26" s="4">
        <f t="shared" si="0"/>
        <v>2091.4565250192718</v>
      </c>
      <c r="AL26" s="4">
        <f t="shared" si="7"/>
        <v>2759.85335633161</v>
      </c>
      <c r="AM26" s="4">
        <f>'Ajuste de Volumen'!AM26*AR26/1000000</f>
        <v>2091.4565250192713</v>
      </c>
      <c r="AN26" s="4">
        <f>AVERAGE($AM$25:$AM$31)</f>
        <v>2759.85335633161</v>
      </c>
      <c r="AO26" s="4">
        <f>'Ajuste de Volumen'!AO26*AR26/1000000</f>
        <v>0</v>
      </c>
      <c r="AP26" s="19">
        <f t="shared" si="3"/>
        <v>0</v>
      </c>
      <c r="AQ26" s="19" t="e">
        <f t="shared" si="4"/>
        <v>#DIV/0!</v>
      </c>
      <c r="AR26" s="113">
        <v>36646.572252444697</v>
      </c>
    </row>
    <row r="27" spans="1:44" x14ac:dyDescent="0.2">
      <c r="A27" s="296">
        <f>'Ajuste de Volumen'!A27</f>
        <v>20130317</v>
      </c>
      <c r="B27" s="4">
        <f>'Ajuste de Volumen'!B27*AR27/1000000</f>
        <v>0</v>
      </c>
      <c r="C27" s="4">
        <f>'Ajuste de Volumen'!C27*AR27/1000000</f>
        <v>24.846375987157504</v>
      </c>
      <c r="D27" s="4">
        <f>'Ajuste de Volumen'!D27*AR27/1000000</f>
        <v>0</v>
      </c>
      <c r="E27" s="4">
        <f>'Ajuste de Volumen'!E27*AR27/1000000</f>
        <v>33.091854743957562</v>
      </c>
      <c r="F27" s="4">
        <f>'Ajuste de Volumen'!F27*AR27/1000000</f>
        <v>0</v>
      </c>
      <c r="G27" s="4">
        <f>'Ajuste de Volumen'!G27*AR27/1000000</f>
        <v>242.08725629964968</v>
      </c>
      <c r="H27" s="4">
        <f>'Ajuste de Volumen'!H27*AR27/1000000</f>
        <v>39.614944604892713</v>
      </c>
      <c r="I27" s="4">
        <f>'Ajuste de Volumen'!I27*AR27/1000000</f>
        <v>273.346782430985</v>
      </c>
      <c r="J27" s="4">
        <f>'Ajuste de Volumen'!J27*AR27/1000000</f>
        <v>0</v>
      </c>
      <c r="K27" s="4">
        <f>'Ajuste de Volumen'!K27*AR27/1000000</f>
        <v>12.936240005112976</v>
      </c>
      <c r="L27" s="4">
        <f>'Ajuste de Volumen'!L27*AR27/1000000</f>
        <v>0.1099397167573341</v>
      </c>
      <c r="M27" s="4">
        <f>'Ajuste de Volumen'!M27*AR27/1000000</f>
        <v>7.6224870285084974</v>
      </c>
      <c r="N27" s="4">
        <f>'Ajuste de Volumen'!N27*AR27/1000000</f>
        <v>355.6183371377233</v>
      </c>
      <c r="O27" s="4">
        <f>'Ajuste de Volumen'!O27*AR27/1000000</f>
        <v>12.203308560064086</v>
      </c>
      <c r="P27" s="4">
        <f>'Ajuste de Volumen'!P27*AR27/1000000</f>
        <v>101.32777227800959</v>
      </c>
      <c r="Q27" s="4">
        <f>'Ajuste de Volumen'!Q27*AR27/1000000</f>
        <v>2.5652600576711286</v>
      </c>
      <c r="R27" s="4">
        <f>'Ajuste de Volumen'!R27*AR27/1000000</f>
        <v>0</v>
      </c>
      <c r="S27" s="4">
        <f>'Ajuste de Volumen'!S27*AR27/1000000</f>
        <v>209.91156586200324</v>
      </c>
      <c r="T27" s="4">
        <f>'Ajuste de Volumen'!T27*AR27/1000000</f>
        <v>7.3293144504889385E-2</v>
      </c>
      <c r="U27" s="4">
        <f>'Ajuste de Volumen'!U27*AR27/1000000</f>
        <v>0</v>
      </c>
      <c r="V27" s="4">
        <f>'Ajuste de Volumen'!V27*AR27/1000000</f>
        <v>0</v>
      </c>
      <c r="W27" s="4">
        <f>'Ajuste de Volumen'!W27*AR27/1000000</f>
        <v>0</v>
      </c>
      <c r="X27" s="4">
        <f>'Ajuste de Volumen'!X27*AR27/1000000</f>
        <v>0</v>
      </c>
      <c r="Y27" s="4">
        <f>'Ajuste de Volumen'!Y27*AR27/1000000</f>
        <v>0</v>
      </c>
      <c r="Z27" s="4">
        <f>'Ajuste de Volumen'!Z27*AS27/1000000</f>
        <v>0</v>
      </c>
      <c r="AA27" s="4">
        <f>'Ajuste de Volumen'!AA27*AR27/1000000</f>
        <v>0</v>
      </c>
      <c r="AB27" s="4">
        <f>'Ajuste de Volumen'!AB27*AR27/1000000</f>
        <v>0</v>
      </c>
      <c r="AC27" s="4">
        <f>'Ajuste de Volumen'!AC27*$AR27/1000000</f>
        <v>0</v>
      </c>
      <c r="AD27" s="4">
        <f>'Ajuste de Volumen'!AD27*$AR27/1000000</f>
        <v>0</v>
      </c>
      <c r="AE27" s="4">
        <f>'Ajuste de Volumen'!AE27*$AR27/1000000</f>
        <v>0</v>
      </c>
      <c r="AF27" s="4">
        <f>'Ajuste de Volumen'!AF27*$AR27/1000000</f>
        <v>0</v>
      </c>
      <c r="AG27" s="4">
        <f>'Ajuste de Volumen'!AG27*$AR27/1000000</f>
        <v>0</v>
      </c>
      <c r="AH27" s="4">
        <f>'Ajuste de Volumen'!AH27*$AR27/1000000</f>
        <v>0</v>
      </c>
      <c r="AI27" s="4">
        <f>'Ajuste de Volumen'!AI27*$AR27/1000000</f>
        <v>0</v>
      </c>
      <c r="AJ27" s="4">
        <f>'Ajuste de Volumen'!AJ27*$AR27/1000000</f>
        <v>0</v>
      </c>
      <c r="AK27" s="4">
        <f t="shared" si="0"/>
        <v>1315.3554178569977</v>
      </c>
      <c r="AL27" s="4">
        <f t="shared" si="7"/>
        <v>2759.85335633161</v>
      </c>
      <c r="AM27" s="4">
        <f>'Ajuste de Volumen'!AM27*AR27/1000000</f>
        <v>1315.3554178569975</v>
      </c>
      <c r="AN27" s="4">
        <f t="shared" si="8"/>
        <v>2759.85335633161</v>
      </c>
      <c r="AO27" s="4">
        <f>'Ajuste de Volumen'!AO27*AR27/1000000</f>
        <v>0</v>
      </c>
      <c r="AP27" s="19">
        <f t="shared" si="3"/>
        <v>0</v>
      </c>
      <c r="AQ27" s="19" t="e">
        <f t="shared" si="4"/>
        <v>#DIV/0!</v>
      </c>
      <c r="AR27" s="113">
        <v>36646.572252444697</v>
      </c>
    </row>
    <row r="28" spans="1:44" x14ac:dyDescent="0.2">
      <c r="A28" s="296">
        <f>'Ajuste de Volumen'!A28</f>
        <v>20130318</v>
      </c>
      <c r="B28" s="4">
        <f>'Ajuste de Volumen'!B28*AR28/1000000</f>
        <v>0</v>
      </c>
      <c r="C28" s="4">
        <f>'Ajuste de Volumen'!C28*AR28/1000000</f>
        <v>164.1399971186998</v>
      </c>
      <c r="D28" s="4">
        <f>'Ajuste de Volumen'!D28*AR28/1000000</f>
        <v>25.029608848419731</v>
      </c>
      <c r="E28" s="4">
        <f>'Ajuste de Volumen'!E28*AR28/1000000</f>
        <v>100.04514224917403</v>
      </c>
      <c r="F28" s="4">
        <f>'Ajuste de Volumen'!F28*AR28/1000000</f>
        <v>0.36646572252444698</v>
      </c>
      <c r="G28" s="4">
        <f>'Ajuste de Volumen'!G28*AR28/1000000</f>
        <v>28.694266073664199</v>
      </c>
      <c r="H28" s="4">
        <f>'Ajuste de Volumen'!H28*AR28/1000000</f>
        <v>31.003000125568214</v>
      </c>
      <c r="I28" s="4">
        <f>'Ajuste de Volumen'!I28*AR28/1000000</f>
        <v>270.9647552345761</v>
      </c>
      <c r="J28" s="4">
        <f>'Ajuste de Volumen'!J28*AR28/1000000</f>
        <v>10.187747086179625</v>
      </c>
      <c r="K28" s="4">
        <f>'Ajuste de Volumen'!K28*AR28/1000000</f>
        <v>205.00092518017564</v>
      </c>
      <c r="L28" s="4">
        <f>'Ajuste de Volumen'!L28*AR28/1000000</f>
        <v>25.65260057671129</v>
      </c>
      <c r="M28" s="4">
        <f>'Ajuste de Volumen'!M28*AR28/1000000</f>
        <v>4.1777092367786954</v>
      </c>
      <c r="N28" s="4">
        <f>'Ajuste de Volumen'!N28*AR28/1000000</f>
        <v>363.24082416623179</v>
      </c>
      <c r="O28" s="4">
        <f>'Ajuste de Volumen'!O28*AR28/1000000</f>
        <v>54.273573505870594</v>
      </c>
      <c r="P28" s="4">
        <f>'Ajuste de Volumen'!P28*AR28/1000000</f>
        <v>103.27004060738915</v>
      </c>
      <c r="Q28" s="4">
        <f>'Ajuste de Volumen'!Q28*AR28/1000000</f>
        <v>6.8895555834596029</v>
      </c>
      <c r="R28" s="4">
        <f>'Ajuste de Volumen'!R28*AR28/1000000</f>
        <v>0</v>
      </c>
      <c r="S28" s="4">
        <f>'Ajuste de Volumen'!S28*AR28/1000000</f>
        <v>206.90654693730278</v>
      </c>
      <c r="T28" s="4">
        <f>'Ajuste de Volumen'!T28*AR28/1000000</f>
        <v>9.8945745081600673</v>
      </c>
      <c r="U28" s="4">
        <f>'Ajuste de Volumen'!U28*AR28/1000000</f>
        <v>0</v>
      </c>
      <c r="V28" s="4">
        <f>'Ajuste de Volumen'!V28*AR28/1000000</f>
        <v>0</v>
      </c>
      <c r="W28" s="4">
        <f>'Ajuste de Volumen'!W28*AR28/1000000</f>
        <v>0</v>
      </c>
      <c r="X28" s="4">
        <f>'Ajuste de Volumen'!X28*AR28/1000000</f>
        <v>0</v>
      </c>
      <c r="Y28" s="4">
        <f>'Ajuste de Volumen'!Y28*AR28/1000000</f>
        <v>0</v>
      </c>
      <c r="Z28" s="4">
        <f>'Ajuste de Volumen'!Z28*AS28/1000000</f>
        <v>0</v>
      </c>
      <c r="AA28" s="4">
        <f>'Ajuste de Volumen'!AA28*AR28/1000000</f>
        <v>0</v>
      </c>
      <c r="AB28" s="4">
        <f>'Ajuste de Volumen'!AB28*AR28/1000000</f>
        <v>0</v>
      </c>
      <c r="AC28" s="4">
        <f>'Ajuste de Volumen'!AC28*$AR28/1000000</f>
        <v>0</v>
      </c>
      <c r="AD28" s="4">
        <f>'Ajuste de Volumen'!AD28*$AR28/1000000</f>
        <v>0</v>
      </c>
      <c r="AE28" s="4">
        <f>'Ajuste de Volumen'!AE28*$AR28/1000000</f>
        <v>0</v>
      </c>
      <c r="AF28" s="4">
        <f>'Ajuste de Volumen'!AF28*$AR28/1000000</f>
        <v>0</v>
      </c>
      <c r="AG28" s="4">
        <f>'Ajuste de Volumen'!AG28*$AR28/1000000</f>
        <v>0</v>
      </c>
      <c r="AH28" s="4">
        <f>'Ajuste de Volumen'!AH28*$AR28/1000000</f>
        <v>0</v>
      </c>
      <c r="AI28" s="4">
        <f>'Ajuste de Volumen'!AI28*$AR28/1000000</f>
        <v>0</v>
      </c>
      <c r="AJ28" s="4">
        <f>'Ajuste de Volumen'!AJ28*$AR28/1000000</f>
        <v>0</v>
      </c>
      <c r="AK28" s="4">
        <f t="shared" si="0"/>
        <v>1609.7373327608857</v>
      </c>
      <c r="AL28" s="4">
        <f t="shared" si="7"/>
        <v>2759.85335633161</v>
      </c>
      <c r="AM28" s="4">
        <f>'Ajuste de Volumen'!AM28*AR28/1000000</f>
        <v>1609.7373327608857</v>
      </c>
      <c r="AN28" s="4">
        <f t="shared" si="8"/>
        <v>2759.85335633161</v>
      </c>
      <c r="AO28" s="4">
        <f>'Ajuste de Volumen'!AO28*AR28/1000000</f>
        <v>0</v>
      </c>
      <c r="AP28" s="19">
        <f t="shared" si="3"/>
        <v>0</v>
      </c>
      <c r="AQ28" s="19" t="e">
        <f t="shared" si="4"/>
        <v>#DIV/0!</v>
      </c>
      <c r="AR28" s="113">
        <v>36646.572252444697</v>
      </c>
    </row>
    <row r="29" spans="1:44" x14ac:dyDescent="0.2">
      <c r="A29" s="296">
        <f>'Ajuste de Volumen'!A29</f>
        <v>20130319</v>
      </c>
      <c r="B29" s="4">
        <f>'Ajuste de Volumen'!B29*AR29/1000000</f>
        <v>7.3293144504889399E-2</v>
      </c>
      <c r="C29" s="4">
        <f>'Ajuste de Volumen'!C29*AR29/1000000</f>
        <v>233.2554323868105</v>
      </c>
      <c r="D29" s="4">
        <f>'Ajuste de Volumen'!D29*AR29/1000000</f>
        <v>49.582812257557677</v>
      </c>
      <c r="E29" s="4">
        <f>'Ajuste de Volumen'!E29*AR29/1000000</f>
        <v>136.28860220684183</v>
      </c>
      <c r="F29" s="4">
        <f>'Ajuste de Volumen'!F29*AR29/1000000</f>
        <v>1.2093368843306751</v>
      </c>
      <c r="G29" s="4">
        <f>'Ajuste de Volumen'!G29*AR29/1000000</f>
        <v>412.53046384576993</v>
      </c>
      <c r="H29" s="4">
        <f>'Ajuste de Volumen'!H29*AR29/1000000</f>
        <v>32.10239729314155</v>
      </c>
      <c r="I29" s="4">
        <f>'Ajuste de Volumen'!I29*AR29/1000000</f>
        <v>265.65100225797164</v>
      </c>
      <c r="J29" s="4">
        <f>'Ajuste de Volumen'!J29*AR29/1000000</f>
        <v>45.515042737536312</v>
      </c>
      <c r="K29" s="4">
        <f>'Ajuste de Volumen'!K29*AR29/1000000</f>
        <v>932.36209124669801</v>
      </c>
      <c r="L29" s="4">
        <f>'Ajuste de Volumen'!L29*AR29/1000000</f>
        <v>65.634010904128459</v>
      </c>
      <c r="M29" s="4">
        <f>'Ajuste de Volumen'!M29*AR29/1000000</f>
        <v>13.889050883676541</v>
      </c>
      <c r="N29" s="4">
        <f>'Ajuste de Volumen'!N29*AR29/1000000</f>
        <v>368.92104286536079</v>
      </c>
      <c r="O29" s="4">
        <f>'Ajuste de Volumen'!O29*AR29/1000000</f>
        <v>281.51896804328021</v>
      </c>
      <c r="P29" s="4">
        <f>'Ajuste de Volumen'!P29*AR29/1000000</f>
        <v>107.74092242218744</v>
      </c>
      <c r="Q29" s="4">
        <f>'Ajuste de Volumen'!Q29*AR29/1000000</f>
        <v>15.721379496298775</v>
      </c>
      <c r="R29" s="4">
        <f>'Ajuste de Volumen'!R29*AR29/1000000</f>
        <v>13.119472866375201</v>
      </c>
      <c r="S29" s="4">
        <f>'Ajuste de Volumen'!S29*AR29/1000000</f>
        <v>190.3056497069453</v>
      </c>
      <c r="T29" s="4">
        <f>'Ajuste de Volumen'!T29*AR29/1000000</f>
        <v>139.2936211315423</v>
      </c>
      <c r="U29" s="4">
        <f>'Ajuste de Volumen'!U29*AR29/1000000</f>
        <v>0</v>
      </c>
      <c r="V29" s="4">
        <f>'Ajuste de Volumen'!V29*AR29/1000000</f>
        <v>0</v>
      </c>
      <c r="W29" s="4">
        <f>'Ajuste de Volumen'!W29*AR29/1000000</f>
        <v>0</v>
      </c>
      <c r="X29" s="4">
        <f>'Ajuste de Volumen'!X29*AR29/1000000</f>
        <v>0</v>
      </c>
      <c r="Y29" s="4">
        <f>'Ajuste de Volumen'!Y29*AR29/1000000</f>
        <v>0</v>
      </c>
      <c r="Z29" s="4">
        <f>'Ajuste de Volumen'!Z29*AS29/1000000</f>
        <v>0</v>
      </c>
      <c r="AA29" s="4">
        <f>'Ajuste de Volumen'!AA29*AR29/1000000</f>
        <v>0</v>
      </c>
      <c r="AB29" s="4">
        <f>'Ajuste de Volumen'!AB29*AR29/1000000</f>
        <v>0</v>
      </c>
      <c r="AC29" s="4">
        <f>'Ajuste de Volumen'!AC29*$AR29/1000000</f>
        <v>0</v>
      </c>
      <c r="AD29" s="4">
        <f>'Ajuste de Volumen'!AD29*$AR29/1000000</f>
        <v>0</v>
      </c>
      <c r="AE29" s="4">
        <f>'Ajuste de Volumen'!AE29*$AR29/1000000</f>
        <v>0</v>
      </c>
      <c r="AF29" s="4">
        <f>'Ajuste de Volumen'!AF29*$AR29/1000000</f>
        <v>0</v>
      </c>
      <c r="AG29" s="4">
        <f>'Ajuste de Volumen'!AG29*$AR29/1000000</f>
        <v>0</v>
      </c>
      <c r="AH29" s="4">
        <f>'Ajuste de Volumen'!AH29*$AR29/1000000</f>
        <v>0</v>
      </c>
      <c r="AI29" s="4">
        <f>'Ajuste de Volumen'!AI29*$AR29/1000000</f>
        <v>0</v>
      </c>
      <c r="AJ29" s="4">
        <f>'Ajuste de Volumen'!AJ29*$AR29/1000000</f>
        <v>0</v>
      </c>
      <c r="AK29" s="4">
        <f t="shared" si="0"/>
        <v>3304.7145925809582</v>
      </c>
      <c r="AL29" s="4">
        <f t="shared" si="7"/>
        <v>2759.85335633161</v>
      </c>
      <c r="AM29" s="4">
        <f>'Ajuste de Volumen'!AM29*AR29/1000000</f>
        <v>3304.7145925809577</v>
      </c>
      <c r="AN29" s="4">
        <f t="shared" si="8"/>
        <v>2759.85335633161</v>
      </c>
      <c r="AO29" s="4">
        <f>'Ajuste de Volumen'!AO29*AR29/1000000</f>
        <v>0</v>
      </c>
      <c r="AP29" s="19">
        <f t="shared" si="3"/>
        <v>0</v>
      </c>
      <c r="AQ29" s="19" t="e">
        <f t="shared" si="4"/>
        <v>#DIV/0!</v>
      </c>
      <c r="AR29" s="113">
        <v>36646.572252444697</v>
      </c>
    </row>
    <row r="30" spans="1:44" x14ac:dyDescent="0.2">
      <c r="A30" s="296">
        <f>'Ajuste de Volumen'!A30</f>
        <v>20130320</v>
      </c>
      <c r="B30" s="4">
        <f>'Ajuste de Volumen'!B30*AR30/1000000</f>
        <v>0</v>
      </c>
      <c r="C30" s="4">
        <f>'Ajuste de Volumen'!C30*AR30/1000000</f>
        <v>222.2248141388246</v>
      </c>
      <c r="D30" s="4">
        <f>'Ajuste de Volumen'!D30*AR30/1000000</f>
        <v>47.347371350158546</v>
      </c>
      <c r="E30" s="4">
        <f>'Ajuste de Volumen'!E30*AR30/1000000</f>
        <v>131.01149580248978</v>
      </c>
      <c r="F30" s="4">
        <f>'Ajuste de Volumen'!F30*AR30/1000000</f>
        <v>33.751493044501572</v>
      </c>
      <c r="G30" s="4">
        <f>'Ajuste de Volumen'!G30*AR30/1000000</f>
        <v>252.6781156806062</v>
      </c>
      <c r="H30" s="4">
        <f>'Ajuste de Volumen'!H30*AR30/1000000</f>
        <v>32.065750720889113</v>
      </c>
      <c r="I30" s="4">
        <f>'Ajuste de Volumen'!I30*AR30/1000000</f>
        <v>281.66555433228996</v>
      </c>
      <c r="J30" s="4">
        <f>'Ajuste de Volumen'!J30*AR30/1000000</f>
        <v>50.095864269091905</v>
      </c>
      <c r="K30" s="4">
        <f>'Ajuste de Volumen'!K30*AR30/1000000</f>
        <v>981.21197205920669</v>
      </c>
      <c r="L30" s="4">
        <f>'Ajuste de Volumen'!L30*AR30/1000000</f>
        <v>70.61794473046092</v>
      </c>
      <c r="M30" s="4">
        <f>'Ajuste de Volumen'!M30*AR30/1000000</f>
        <v>12.276601704568973</v>
      </c>
      <c r="N30" s="4">
        <f>'Ajuste de Volumen'!N30*AR30/1000000</f>
        <v>377.34975448342306</v>
      </c>
      <c r="O30" s="4">
        <f>'Ajuste de Volumen'!O30*AR30/1000000</f>
        <v>364.8532733453394</v>
      </c>
      <c r="P30" s="4">
        <f>'Ajuste de Volumen'!P30*AR30/1000000</f>
        <v>112.28509738149057</v>
      </c>
      <c r="Q30" s="4">
        <f>'Ajuste de Volumen'!Q30*AR30/1000000</f>
        <v>9.3082293521209518</v>
      </c>
      <c r="R30" s="4">
        <f>'Ajuste de Volumen'!R30*AR30/1000000</f>
        <v>59.110921043193294</v>
      </c>
      <c r="S30" s="4">
        <f>'Ajuste de Volumen'!S30*AR30/1000000</f>
        <v>191.47834001902353</v>
      </c>
      <c r="T30" s="4">
        <f>'Ajuste de Volumen'!T30*AR30/1000000</f>
        <v>203.31518285656318</v>
      </c>
      <c r="U30" s="4">
        <f>'Ajuste de Volumen'!U30*AR30/1000000</f>
        <v>0</v>
      </c>
      <c r="V30" s="4">
        <f>'Ajuste de Volumen'!V30*AR30/1000000</f>
        <v>0</v>
      </c>
      <c r="W30" s="4">
        <f>'Ajuste de Volumen'!W30*AR30/1000000</f>
        <v>0</v>
      </c>
      <c r="X30" s="4">
        <f>'Ajuste de Volumen'!X30*AR30/1000000</f>
        <v>0</v>
      </c>
      <c r="Y30" s="4">
        <f>'Ajuste de Volumen'!Y30*AR30/1000000</f>
        <v>0</v>
      </c>
      <c r="Z30" s="4">
        <f>'Ajuste de Volumen'!Z30*AS30/1000000</f>
        <v>0</v>
      </c>
      <c r="AA30" s="4">
        <f>'Ajuste de Volumen'!AA30*AR30/1000000</f>
        <v>0</v>
      </c>
      <c r="AB30" s="4">
        <f>'Ajuste de Volumen'!AB30*AR30/1000000</f>
        <v>0</v>
      </c>
      <c r="AC30" s="4">
        <f>'Ajuste de Volumen'!AC30*$AR30/1000000</f>
        <v>0</v>
      </c>
      <c r="AD30" s="4">
        <f>'Ajuste de Volumen'!AD30*$AR30/1000000</f>
        <v>0</v>
      </c>
      <c r="AE30" s="4">
        <f>'Ajuste de Volumen'!AE30*$AR30/1000000</f>
        <v>0</v>
      </c>
      <c r="AF30" s="4">
        <f>'Ajuste de Volumen'!AF30*$AR30/1000000</f>
        <v>0</v>
      </c>
      <c r="AG30" s="4">
        <f>'Ajuste de Volumen'!AG30*$AR30/1000000</f>
        <v>0</v>
      </c>
      <c r="AH30" s="4">
        <f>'Ajuste de Volumen'!AH30*$AR30/1000000</f>
        <v>0</v>
      </c>
      <c r="AI30" s="4">
        <f>'Ajuste de Volumen'!AI30*$AR30/1000000</f>
        <v>0</v>
      </c>
      <c r="AJ30" s="4">
        <f>'Ajuste de Volumen'!AJ30*$AR30/1000000</f>
        <v>0</v>
      </c>
      <c r="AK30" s="4">
        <f t="shared" si="0"/>
        <v>3432.647776314242</v>
      </c>
      <c r="AL30" s="4">
        <f t="shared" si="7"/>
        <v>2759.85335633161</v>
      </c>
      <c r="AM30" s="4">
        <f>'Ajuste de Volumen'!AM30*AR30/1000000</f>
        <v>3432.6477763142425</v>
      </c>
      <c r="AN30" s="4">
        <f t="shared" si="8"/>
        <v>2759.85335633161</v>
      </c>
      <c r="AO30" s="4">
        <f>'Ajuste de Volumen'!AO30*AR30/1000000</f>
        <v>0</v>
      </c>
      <c r="AP30" s="19">
        <f t="shared" si="3"/>
        <v>0</v>
      </c>
      <c r="AQ30" s="19" t="e">
        <f t="shared" si="4"/>
        <v>#DIV/0!</v>
      </c>
      <c r="AR30" s="113">
        <v>36646.572252444697</v>
      </c>
    </row>
    <row r="31" spans="1:44" x14ac:dyDescent="0.2">
      <c r="A31" s="296">
        <f>'Ajuste de Volumen'!A31</f>
        <v>20130321</v>
      </c>
      <c r="B31" s="4">
        <f>'Ajuste de Volumen'!B31*AR31/1000000</f>
        <v>2.5286134854186844</v>
      </c>
      <c r="C31" s="4">
        <f>'Ajuste de Volumen'!C31*AR31/1000000</f>
        <v>200.12693107060048</v>
      </c>
      <c r="D31" s="4">
        <f>'Ajuste de Volumen'!D31*AR31/1000000</f>
        <v>46.174681038080323</v>
      </c>
      <c r="E31" s="4">
        <f>'Ajuste de Volumen'!E31*AR31/1000000</f>
        <v>158.09331269704643</v>
      </c>
      <c r="F31" s="4">
        <f>'Ajuste de Volumen'!F31*AR31/1000000</f>
        <v>173.26499360955853</v>
      </c>
      <c r="G31" s="4">
        <f>'Ajuste de Volumen'!G31*AR31/1000000</f>
        <v>374.60126156448973</v>
      </c>
      <c r="H31" s="4">
        <f>'Ajuste de Volumen'!H31*AR31/1000000</f>
        <v>28.401093495644641</v>
      </c>
      <c r="I31" s="4">
        <f>'Ajuste de Volumen'!I31*AR31/1000000</f>
        <v>272.43061812467391</v>
      </c>
      <c r="J31" s="4">
        <f>'Ajuste de Volumen'!J31*AR31/1000000</f>
        <v>61.089835944825317</v>
      </c>
      <c r="K31" s="4">
        <f>'Ajuste de Volumen'!K31*AR31/1000000</f>
        <v>908.21200013233693</v>
      </c>
      <c r="L31" s="4">
        <f>'Ajuste de Volumen'!L31*AR31/1000000</f>
        <v>64.38802744754534</v>
      </c>
      <c r="M31" s="4">
        <f>'Ajuste de Volumen'!M31*AR31/1000000</f>
        <v>14.328809750705879</v>
      </c>
      <c r="N31" s="4">
        <f>'Ajuste de Volumen'!N31*AR31/1000000</f>
        <v>370.02044003293412</v>
      </c>
      <c r="O31" s="4">
        <f>'Ajuste de Volumen'!O31*AR31/1000000</f>
        <v>381.27093771443464</v>
      </c>
      <c r="P31" s="4">
        <f>'Ajuste de Volumen'!P31*AR31/1000000</f>
        <v>108.40056072273141</v>
      </c>
      <c r="Q31" s="4">
        <f>'Ajuste de Volumen'!Q31*AR31/1000000</f>
        <v>15.758026068551221</v>
      </c>
      <c r="R31" s="4">
        <f>'Ajuste de Volumen'!R31*AR31/1000000</f>
        <v>51.744960020451913</v>
      </c>
      <c r="S31" s="4">
        <f>'Ajuste de Volumen'!S31*AR31/1000000</f>
        <v>199.10082704753205</v>
      </c>
      <c r="T31" s="4">
        <f>'Ajuste de Volumen'!T31*AR31/1000000</f>
        <v>193.23737548714089</v>
      </c>
      <c r="U31" s="4">
        <f>'Ajuste de Volumen'!U31*AR31/1000000</f>
        <v>0</v>
      </c>
      <c r="V31" s="4">
        <f>'Ajuste de Volumen'!V31*AR31/1000000</f>
        <v>0</v>
      </c>
      <c r="W31" s="4">
        <f>'Ajuste de Volumen'!W31*AR31/1000000</f>
        <v>0</v>
      </c>
      <c r="X31" s="4">
        <f>'Ajuste de Volumen'!X31*AR31/1000000</f>
        <v>0</v>
      </c>
      <c r="Y31" s="4">
        <f>'Ajuste de Volumen'!Y31*AR31/1000000</f>
        <v>0</v>
      </c>
      <c r="Z31" s="4">
        <f>'Ajuste de Volumen'!Z31*AS31/1000000</f>
        <v>0</v>
      </c>
      <c r="AA31" s="4">
        <f>'Ajuste de Volumen'!AA31*AR31/1000000</f>
        <v>0</v>
      </c>
      <c r="AB31" s="4">
        <f>'Ajuste de Volumen'!AB31*AR31/1000000</f>
        <v>0</v>
      </c>
      <c r="AC31" s="4">
        <f>'Ajuste de Volumen'!AC31*$AR31/1000000</f>
        <v>0</v>
      </c>
      <c r="AD31" s="4">
        <f>'Ajuste de Volumen'!AD31*$AR31/1000000</f>
        <v>0</v>
      </c>
      <c r="AE31" s="4">
        <f>'Ajuste de Volumen'!AE31*$AR31/1000000</f>
        <v>0</v>
      </c>
      <c r="AF31" s="4">
        <f>'Ajuste de Volumen'!AF31*$AR31/1000000</f>
        <v>0</v>
      </c>
      <c r="AG31" s="4">
        <f>'Ajuste de Volumen'!AG31*$AR31/1000000</f>
        <v>0</v>
      </c>
      <c r="AH31" s="4">
        <f>'Ajuste de Volumen'!AH31*$AR31/1000000</f>
        <v>0</v>
      </c>
      <c r="AI31" s="4">
        <f>'Ajuste de Volumen'!AI31*$AR31/1000000</f>
        <v>0</v>
      </c>
      <c r="AJ31" s="4">
        <f>'Ajuste de Volumen'!AJ31*$AR31/1000000</f>
        <v>0</v>
      </c>
      <c r="AK31" s="4">
        <f t="shared" si="0"/>
        <v>3623.1733054547026</v>
      </c>
      <c r="AL31" s="4">
        <f t="shared" si="7"/>
        <v>2759.85335633161</v>
      </c>
      <c r="AM31" s="4">
        <f>'Ajuste de Volumen'!AM31*AR31/1000000</f>
        <v>3623.1733054547026</v>
      </c>
      <c r="AN31" s="4">
        <f t="shared" si="8"/>
        <v>2759.85335633161</v>
      </c>
      <c r="AO31" s="4">
        <f>'Ajuste de Volumen'!AO31*AR31/1000000</f>
        <v>0</v>
      </c>
      <c r="AP31" s="19">
        <f t="shared" si="3"/>
        <v>0</v>
      </c>
      <c r="AQ31" s="19" t="e">
        <f t="shared" si="4"/>
        <v>#DIV/0!</v>
      </c>
      <c r="AR31" s="113">
        <v>36646.572252444697</v>
      </c>
    </row>
    <row r="32" spans="1:44" x14ac:dyDescent="0.2">
      <c r="A32" s="296">
        <f>'Ajuste de Volumen'!A32</f>
        <v>20130322</v>
      </c>
      <c r="B32" s="4">
        <f>'Ajuste de Volumen'!B32*AR32/1000000</f>
        <v>1.9422683293795688</v>
      </c>
      <c r="C32" s="4">
        <f>'Ajuste de Volumen'!C32*AR32/1000000</f>
        <v>159.92564130966866</v>
      </c>
      <c r="D32" s="4">
        <f>'Ajuste de Volumen'!D32*AR32/1000000</f>
        <v>28.987438651683757</v>
      </c>
      <c r="E32" s="4">
        <f>'Ajuste de Volumen'!E32*AR32/1000000</f>
        <v>116.93921205755103</v>
      </c>
      <c r="F32" s="4">
        <f>'Ajuste de Volumen'!F32*AR32/1000000</f>
        <v>162.67413422860201</v>
      </c>
      <c r="G32" s="4">
        <f>'Ajuste de Volumen'!G32*AR32/1000000</f>
        <v>350.96422246166287</v>
      </c>
      <c r="H32" s="4">
        <f>'Ajuste de Volumen'!H32*AR32/1000000</f>
        <v>34.850890212074916</v>
      </c>
      <c r="I32" s="4">
        <f>'Ajuste de Volumen'!I32*AR32/1000000</f>
        <v>284.70721982924289</v>
      </c>
      <c r="J32" s="4">
        <f>'Ajuste de Volumen'!J32*AR32/1000000</f>
        <v>28.401093495644641</v>
      </c>
      <c r="K32" s="4">
        <f>'Ajuste de Volumen'!K32*AR32/1000000</f>
        <v>811.8681616806598</v>
      </c>
      <c r="L32" s="4">
        <f>'Ajuste de Volumen'!L32*AR32/1000000</f>
        <v>68.565736684324023</v>
      </c>
      <c r="M32" s="4">
        <f>'Ajuste de Volumen'!M32*AR32/1000000</f>
        <v>16.710836947114782</v>
      </c>
      <c r="N32" s="4">
        <f>'Ajuste de Volumen'!N32*AR32/1000000</f>
        <v>367.08871425273855</v>
      </c>
      <c r="O32" s="4">
        <f>'Ajuste de Volumen'!O32*AR32/1000000</f>
        <v>351.18410189517755</v>
      </c>
      <c r="P32" s="4">
        <f>'Ajuste de Volumen'!P32*AR32/1000000</f>
        <v>115.40005602294835</v>
      </c>
      <c r="Q32" s="4">
        <f>'Ajuste de Volumen'!Q32*AR32/1000000</f>
        <v>6.486443288682711</v>
      </c>
      <c r="R32" s="4">
        <f>'Ajuste de Volumen'!R32*AR32/1000000</f>
        <v>59.220860759950639</v>
      </c>
      <c r="S32" s="4">
        <f>'Ajuste de Volumen'!S32*AR32/1000000</f>
        <v>206.13696892000141</v>
      </c>
      <c r="T32" s="4">
        <f>'Ajuste de Volumen'!T32*AR32/1000000</f>
        <v>208.84881526668232</v>
      </c>
      <c r="U32" s="4">
        <f>'Ajuste de Volumen'!U32*AR32/1000000</f>
        <v>0</v>
      </c>
      <c r="V32" s="4">
        <f>'Ajuste de Volumen'!V32*AR32/1000000</f>
        <v>0</v>
      </c>
      <c r="W32" s="4">
        <f>'Ajuste de Volumen'!W32*AR32/1000000</f>
        <v>0</v>
      </c>
      <c r="X32" s="4">
        <f>'Ajuste de Volumen'!X32*AR32/1000000</f>
        <v>0</v>
      </c>
      <c r="Y32" s="4">
        <f>'Ajuste de Volumen'!Y32*AR32/1000000</f>
        <v>0</v>
      </c>
      <c r="Z32" s="4">
        <f>'Ajuste de Volumen'!Z32*AS32/1000000</f>
        <v>0</v>
      </c>
      <c r="AA32" s="4">
        <f>'Ajuste de Volumen'!AA32*AR32/1000000</f>
        <v>0</v>
      </c>
      <c r="AB32" s="4">
        <f>'Ajuste de Volumen'!AB32*AR32/1000000</f>
        <v>0</v>
      </c>
      <c r="AC32" s="4">
        <f>'Ajuste de Volumen'!AC32*$AR32/1000000</f>
        <v>0</v>
      </c>
      <c r="AD32" s="4">
        <f>'Ajuste de Volumen'!AD32*$AR32/1000000</f>
        <v>0</v>
      </c>
      <c r="AE32" s="4">
        <f>'Ajuste de Volumen'!AE32*$AR32/1000000</f>
        <v>0</v>
      </c>
      <c r="AF32" s="4">
        <f>'Ajuste de Volumen'!AF32*$AR32/1000000</f>
        <v>0</v>
      </c>
      <c r="AG32" s="4">
        <f>'Ajuste de Volumen'!AG32*$AR32/1000000</f>
        <v>0</v>
      </c>
      <c r="AH32" s="4">
        <f>'Ajuste de Volumen'!AH32*$AR32/1000000</f>
        <v>0</v>
      </c>
      <c r="AI32" s="4">
        <f>'Ajuste de Volumen'!AI32*$AR32/1000000</f>
        <v>0</v>
      </c>
      <c r="AJ32" s="4">
        <f>'Ajuste de Volumen'!AJ32*$AR32/1000000</f>
        <v>0</v>
      </c>
      <c r="AK32" s="4">
        <f t="shared" si="0"/>
        <v>3380.9028162937902</v>
      </c>
      <c r="AL32" s="4">
        <f t="shared" ref="AL32:AL38" si="9">AVERAGE($AK$32:$AK$38)</f>
        <v>2555.1979559755287</v>
      </c>
      <c r="AM32" s="4">
        <f>'Ajuste de Volumen'!AM32*AR32/1000000</f>
        <v>3380.9028162937902</v>
      </c>
      <c r="AN32" s="4">
        <f t="shared" ref="AN32:AN37" si="10">AVERAGE($AM$32:$AM$38)</f>
        <v>2555.1979559755287</v>
      </c>
      <c r="AO32" s="4">
        <f>'Ajuste de Volumen'!AO32*AR32/1000000</f>
        <v>0</v>
      </c>
      <c r="AP32" s="19">
        <f t="shared" si="3"/>
        <v>0</v>
      </c>
      <c r="AQ32" s="19" t="e">
        <f t="shared" si="4"/>
        <v>#DIV/0!</v>
      </c>
      <c r="AR32" s="113">
        <v>36646.572252444697</v>
      </c>
    </row>
    <row r="33" spans="1:45" x14ac:dyDescent="0.2">
      <c r="A33" s="296">
        <f>'Ajuste de Volumen'!A33</f>
        <v>20130323</v>
      </c>
      <c r="B33" s="4">
        <f>'Ajuste de Volumen'!B33*AR33/1000000</f>
        <v>0</v>
      </c>
      <c r="C33" s="4">
        <f>'Ajuste de Volumen'!C33*AR33/1000000</f>
        <v>162.4909013673398</v>
      </c>
      <c r="D33" s="4">
        <f>'Ajuste de Volumen'!D33*AR33/1000000</f>
        <v>2.4919669131662392</v>
      </c>
      <c r="E33" s="4">
        <f>'Ajuste de Volumen'!E33*AR33/1000000</f>
        <v>32.871975310442892</v>
      </c>
      <c r="F33" s="4">
        <f>'Ajuste de Volumen'!F33*AR33/1000000</f>
        <v>132.29412583132535</v>
      </c>
      <c r="G33" s="4">
        <f>'Ajuste de Volumen'!G33*AR33/1000000</f>
        <v>343.85478744468861</v>
      </c>
      <c r="H33" s="4">
        <f>'Ajuste de Volumen'!H33*AR33/1000000</f>
        <v>38.368961148309594</v>
      </c>
      <c r="I33" s="4">
        <f>'Ajuste de Volumen'!I33*AR33/1000000</f>
        <v>280.63945030922144</v>
      </c>
      <c r="J33" s="4">
        <f>'Ajuste de Volumen'!J33*AR33/1000000</f>
        <v>5.6435721268764834</v>
      </c>
      <c r="K33" s="4">
        <f>'Ajuste de Volumen'!K33*AR33/1000000</f>
        <v>284.96374583501</v>
      </c>
      <c r="L33" s="4">
        <f>'Ajuste de Volumen'!L33*AR33/1000000</f>
        <v>19.056217571271244</v>
      </c>
      <c r="M33" s="4">
        <f>'Ajuste de Volumen'!M33*AR33/1000000</f>
        <v>6.8162624389547135</v>
      </c>
      <c r="N33" s="4">
        <f>'Ajuste de Volumen'!N33*AR33/1000000</f>
        <v>353.49283594708157</v>
      </c>
      <c r="O33" s="4">
        <f>'Ajuste de Volumen'!O33*AR33/1000000</f>
        <v>249.48986389464349</v>
      </c>
      <c r="P33" s="4">
        <f>'Ajuste de Volumen'!P33*AR33/1000000</f>
        <v>48.703294523499004</v>
      </c>
      <c r="Q33" s="4">
        <f>'Ajuste de Volumen'!Q33*AR33/1000000</f>
        <v>3.9944763755164718</v>
      </c>
      <c r="R33" s="4">
        <f>'Ajuste de Volumen'!R33*AR33/1000000</f>
        <v>19.6792092995628</v>
      </c>
      <c r="S33" s="4">
        <f>'Ajuste de Volumen'!S33*AR33/1000000</f>
        <v>171.54260471369361</v>
      </c>
      <c r="T33" s="4">
        <f>'Ajuste de Volumen'!T33*AR33/1000000</f>
        <v>18.653105276494351</v>
      </c>
      <c r="U33" s="4">
        <f>'Ajuste de Volumen'!U33*AR33/1000000</f>
        <v>0</v>
      </c>
      <c r="V33" s="4">
        <f>'Ajuste de Volumen'!V33*AR33/1000000</f>
        <v>0</v>
      </c>
      <c r="W33" s="4">
        <f>'Ajuste de Volumen'!W33*AR33/1000000</f>
        <v>0</v>
      </c>
      <c r="X33" s="4">
        <f>'Ajuste de Volumen'!X33*AR33/1000000</f>
        <v>0</v>
      </c>
      <c r="Y33" s="4">
        <f>'Ajuste de Volumen'!Y33*AR33/1000000</f>
        <v>0</v>
      </c>
      <c r="Z33" s="4">
        <f>'Ajuste de Volumen'!Z33*AS33/1000000</f>
        <v>0</v>
      </c>
      <c r="AA33" s="4">
        <f>'Ajuste de Volumen'!AA33*AR33/1000000</f>
        <v>0</v>
      </c>
      <c r="AB33" s="4">
        <f>'Ajuste de Volumen'!AB33*AR33/1000000</f>
        <v>0</v>
      </c>
      <c r="AC33" s="4">
        <f>'Ajuste de Volumen'!AC33*$AR33/1000000</f>
        <v>0</v>
      </c>
      <c r="AD33" s="4">
        <f>'Ajuste de Volumen'!AD33*$AR33/1000000</f>
        <v>0</v>
      </c>
      <c r="AE33" s="4">
        <f>'Ajuste de Volumen'!AE33*$AR33/1000000</f>
        <v>0</v>
      </c>
      <c r="AF33" s="4">
        <f>'Ajuste de Volumen'!AF33*$AR33/1000000</f>
        <v>0</v>
      </c>
      <c r="AG33" s="4">
        <f>'Ajuste de Volumen'!AG33*$AR33/1000000</f>
        <v>0</v>
      </c>
      <c r="AH33" s="4">
        <f>'Ajuste de Volumen'!AH33*$AR33/1000000</f>
        <v>0</v>
      </c>
      <c r="AI33" s="4">
        <f>'Ajuste de Volumen'!AI33*$AR33/1000000</f>
        <v>0</v>
      </c>
      <c r="AJ33" s="4">
        <f>'Ajuste de Volumen'!AJ33*$AR33/1000000</f>
        <v>0</v>
      </c>
      <c r="AK33" s="4">
        <f t="shared" si="0"/>
        <v>2175.047356327098</v>
      </c>
      <c r="AL33" s="4">
        <f t="shared" si="9"/>
        <v>2555.1979559755287</v>
      </c>
      <c r="AM33" s="4">
        <f>'Ajuste de Volumen'!AM33*AR33/1000000</f>
        <v>2175.047356327098</v>
      </c>
      <c r="AN33" s="4">
        <f t="shared" si="10"/>
        <v>2555.1979559755287</v>
      </c>
      <c r="AO33" s="4">
        <f>'Ajuste de Volumen'!AO33*AR33/1000000</f>
        <v>0</v>
      </c>
      <c r="AP33" s="19">
        <f t="shared" si="3"/>
        <v>0</v>
      </c>
      <c r="AQ33" s="19" t="e">
        <f t="shared" si="4"/>
        <v>#DIV/0!</v>
      </c>
      <c r="AR33" s="113">
        <v>36646.572252444697</v>
      </c>
    </row>
    <row r="34" spans="1:45" x14ac:dyDescent="0.2">
      <c r="A34" s="296">
        <f>'Ajuste de Volumen'!A34</f>
        <v>20130324</v>
      </c>
      <c r="B34" s="4">
        <f>'Ajuste de Volumen'!B34*AR34/1000000</f>
        <v>0</v>
      </c>
      <c r="C34" s="4">
        <f>'Ajuste de Volumen'!C34*AR34/1000000</f>
        <v>97.260002757988232</v>
      </c>
      <c r="D34" s="4">
        <f>'Ajuste de Volumen'!D34*AR34/1000000</f>
        <v>28.401093495644641</v>
      </c>
      <c r="E34" s="4">
        <f>'Ajuste de Volumen'!E34*AR34/1000000</f>
        <v>27.997981200867748</v>
      </c>
      <c r="F34" s="4">
        <f>'Ajuste de Volumen'!F34*AR34/1000000</f>
        <v>7.3293144504889399E-2</v>
      </c>
      <c r="G34" s="4">
        <f>'Ajuste de Volumen'!G34*AR34/1000000</f>
        <v>305.3392400073692</v>
      </c>
      <c r="H34" s="4">
        <f>'Ajuste de Volumen'!H34*AR34/1000000</f>
        <v>37.709322847765591</v>
      </c>
      <c r="I34" s="4">
        <f>'Ajuste de Volumen'!I34*AR34/1000000</f>
        <v>290.09426595035222</v>
      </c>
      <c r="J34" s="4">
        <f>'Ajuste de Volumen'!J34*AR34/1000000</f>
        <v>0</v>
      </c>
      <c r="K34" s="4">
        <f>'Ajuste de Volumen'!K34*AR34/1000000</f>
        <v>179.71479032598879</v>
      </c>
      <c r="L34" s="4">
        <f>'Ajuste de Volumen'!L34*AR34/1000000</f>
        <v>7.146081589226716</v>
      </c>
      <c r="M34" s="4">
        <f>'Ajuste de Volumen'!M34*AR34/1000000</f>
        <v>12.679713999345864</v>
      </c>
      <c r="N34" s="4">
        <f>'Ajuste de Volumen'!N34*AR34/1000000</f>
        <v>369.98379346068168</v>
      </c>
      <c r="O34" s="4">
        <f>'Ajuste de Volumen'!O34*AR34/1000000</f>
        <v>294.82167377091758</v>
      </c>
      <c r="P34" s="4">
        <f>'Ajuste de Volumen'!P34*AR34/1000000</f>
        <v>112.50497681500522</v>
      </c>
      <c r="Q34" s="4">
        <f>'Ajuste de Volumen'!Q34*AR34/1000000</f>
        <v>2.3453806241564608</v>
      </c>
      <c r="R34" s="4">
        <f>'Ajuste de Volumen'!R34*AR34/1000000</f>
        <v>13.082826294122757</v>
      </c>
      <c r="S34" s="4">
        <f>'Ajuste de Volumen'!S34*AR34/1000000</f>
        <v>205.66056348071965</v>
      </c>
      <c r="T34" s="4">
        <f>'Ajuste de Volumen'!T34*AR34/1000000</f>
        <v>6.08333099390582</v>
      </c>
      <c r="U34" s="4">
        <f>'Ajuste de Volumen'!U34*AR34/1000000</f>
        <v>0</v>
      </c>
      <c r="V34" s="4">
        <f>'Ajuste de Volumen'!V34*AR34/1000000</f>
        <v>0</v>
      </c>
      <c r="W34" s="4">
        <f>'Ajuste de Volumen'!W34*AR34/1000000</f>
        <v>0</v>
      </c>
      <c r="X34" s="4">
        <f>'Ajuste de Volumen'!X34*AR34/1000000</f>
        <v>0</v>
      </c>
      <c r="Y34" s="4">
        <f>'Ajuste de Volumen'!Y34*AR34/1000000</f>
        <v>0</v>
      </c>
      <c r="Z34" s="4">
        <f>'Ajuste de Volumen'!Z34*AS34/1000000</f>
        <v>0</v>
      </c>
      <c r="AA34" s="4">
        <f>'Ajuste de Volumen'!AA34*AR34/1000000</f>
        <v>0</v>
      </c>
      <c r="AB34" s="4">
        <f>'Ajuste de Volumen'!AB34*AR34/1000000</f>
        <v>0</v>
      </c>
      <c r="AC34" s="4">
        <f>'Ajuste de Volumen'!AC34*$AR34/1000000</f>
        <v>0</v>
      </c>
      <c r="AD34" s="4">
        <f>'Ajuste de Volumen'!AD34*$AR34/1000000</f>
        <v>0</v>
      </c>
      <c r="AE34" s="4">
        <f>'Ajuste de Volumen'!AE34*$AR34/1000000</f>
        <v>0</v>
      </c>
      <c r="AF34" s="4">
        <f>'Ajuste de Volumen'!AF34*$AR34/1000000</f>
        <v>0</v>
      </c>
      <c r="AG34" s="4">
        <f>'Ajuste de Volumen'!AG34*$AR34/1000000</f>
        <v>0</v>
      </c>
      <c r="AH34" s="4">
        <f>'Ajuste de Volumen'!AH34*$AR34/1000000</f>
        <v>0</v>
      </c>
      <c r="AI34" s="4">
        <f>'Ajuste de Volumen'!AI34*$AR34/1000000</f>
        <v>0</v>
      </c>
      <c r="AJ34" s="4">
        <f>'Ajuste de Volumen'!AJ34*$AR34/1000000</f>
        <v>0</v>
      </c>
      <c r="AK34" s="4">
        <f t="shared" si="0"/>
        <v>1990.8983307585631</v>
      </c>
      <c r="AL34" s="4">
        <f t="shared" si="9"/>
        <v>2555.1979559755287</v>
      </c>
      <c r="AM34" s="4">
        <f>'Ajuste de Volumen'!AM34*AR34/1000000</f>
        <v>1990.8983307585631</v>
      </c>
      <c r="AN34" s="4">
        <f t="shared" si="10"/>
        <v>2555.1979559755287</v>
      </c>
      <c r="AO34" s="4">
        <f>'Ajuste de Volumen'!AO34*AR34/1000000</f>
        <v>0</v>
      </c>
      <c r="AP34" s="19">
        <f t="shared" si="3"/>
        <v>0</v>
      </c>
      <c r="AQ34" s="19" t="e">
        <f t="shared" si="4"/>
        <v>#DIV/0!</v>
      </c>
      <c r="AR34" s="113">
        <v>36646.572252444697</v>
      </c>
    </row>
    <row r="35" spans="1:45" x14ac:dyDescent="0.2">
      <c r="A35" s="296">
        <f>'Ajuste de Volumen'!A35</f>
        <v>20130325</v>
      </c>
      <c r="B35" s="4">
        <f>'Ajuste de Volumen'!B35*AR35/1000000</f>
        <v>0</v>
      </c>
      <c r="C35" s="4">
        <f>'Ajuste de Volumen'!C35*AR35/1000000</f>
        <v>54.60339265614261</v>
      </c>
      <c r="D35" s="4">
        <f>'Ajuste de Volumen'!D35*AR35/1000000</f>
        <v>56.765540419036824</v>
      </c>
      <c r="E35" s="4">
        <f>'Ajuste de Volumen'!E35*AR35/1000000</f>
        <v>111.88198508671366</v>
      </c>
      <c r="F35" s="4">
        <f>'Ajuste de Volumen'!F35*AR35/1000000</f>
        <v>0.95281087856356217</v>
      </c>
      <c r="G35" s="4">
        <f>'Ajuste de Volumen'!G35*AR35/1000000</f>
        <v>403.51540707166856</v>
      </c>
      <c r="H35" s="4">
        <f>'Ajuste de Volumen'!H35*AR35/1000000</f>
        <v>38.588840581824265</v>
      </c>
      <c r="I35" s="4">
        <f>'Ajuste de Volumen'!I35*AR35/1000000</f>
        <v>290.42408510062421</v>
      </c>
      <c r="J35" s="4">
        <f>'Ajuste de Volumen'!J35*AR35/1000000</f>
        <v>6.6330295776924899</v>
      </c>
      <c r="K35" s="4">
        <f>'Ajuste de Volumen'!K35*AR35/1000000</f>
        <v>995.32090237639795</v>
      </c>
      <c r="L35" s="4">
        <f>'Ajuste de Volumen'!L35*AR35/1000000</f>
        <v>67.063227221973804</v>
      </c>
      <c r="M35" s="4">
        <f>'Ajuste de Volumen'!M35*AR35/1000000</f>
        <v>12.130015415559194</v>
      </c>
      <c r="N35" s="4">
        <f>'Ajuste de Volumen'!N35*AR35/1000000</f>
        <v>390.02946848276889</v>
      </c>
      <c r="O35" s="4">
        <f>'Ajuste de Volumen'!O35*AR35/1000000</f>
        <v>417.51439767210246</v>
      </c>
      <c r="P35" s="4">
        <f>'Ajuste de Volumen'!P35*AR35/1000000</f>
        <v>110.70929477463542</v>
      </c>
      <c r="Q35" s="4">
        <f>'Ajuste de Volumen'!Q35*AR35/1000000</f>
        <v>10.224393658432071</v>
      </c>
      <c r="R35" s="4">
        <f>'Ajuste de Volumen'!R35*AR35/1000000</f>
        <v>59.037627898688413</v>
      </c>
      <c r="S35" s="4">
        <f>'Ajuste de Volumen'!S35*AR35/1000000</f>
        <v>168.86740493926516</v>
      </c>
      <c r="T35" s="4">
        <f>'Ajuste de Volumen'!T35*AR35/1000000</f>
        <v>224.86336734100067</v>
      </c>
      <c r="U35" s="4">
        <f>'Ajuste de Volumen'!U35*AR35/1000000</f>
        <v>0</v>
      </c>
      <c r="V35" s="4">
        <f>'Ajuste de Volumen'!V35*AR35/1000000</f>
        <v>0</v>
      </c>
      <c r="W35" s="4">
        <f>'Ajuste de Volumen'!W35*AR35/1000000</f>
        <v>0</v>
      </c>
      <c r="X35" s="4">
        <f>'Ajuste de Volumen'!X35*AR35/1000000</f>
        <v>0</v>
      </c>
      <c r="Y35" s="4">
        <f>'Ajuste de Volumen'!Y35*AR35/1000000</f>
        <v>0</v>
      </c>
      <c r="Z35" s="4">
        <f>'Ajuste de Volumen'!Z35*AS35/1000000</f>
        <v>0</v>
      </c>
      <c r="AA35" s="4">
        <f>'Ajuste de Volumen'!AA35*AR35/1000000</f>
        <v>0</v>
      </c>
      <c r="AB35" s="4">
        <f>'Ajuste de Volumen'!AB35*AR35/1000000</f>
        <v>0</v>
      </c>
      <c r="AC35" s="4">
        <f>'Ajuste de Volumen'!AC35*$AR35/1000000</f>
        <v>0</v>
      </c>
      <c r="AD35" s="4">
        <f>'Ajuste de Volumen'!AD35*$AR35/1000000</f>
        <v>0</v>
      </c>
      <c r="AE35" s="4">
        <f>'Ajuste de Volumen'!AE35*$AR35/1000000</f>
        <v>0</v>
      </c>
      <c r="AF35" s="4">
        <f>'Ajuste de Volumen'!AF35*$AR35/1000000</f>
        <v>0</v>
      </c>
      <c r="AG35" s="4">
        <f>'Ajuste de Volumen'!AG35*$AR35/1000000</f>
        <v>0</v>
      </c>
      <c r="AH35" s="4">
        <f>'Ajuste de Volumen'!AH35*$AR35/1000000</f>
        <v>0</v>
      </c>
      <c r="AI35" s="4">
        <f>'Ajuste de Volumen'!AI35*$AR35/1000000</f>
        <v>0</v>
      </c>
      <c r="AJ35" s="4">
        <f>'Ajuste de Volumen'!AJ35*$AR35/1000000</f>
        <v>0</v>
      </c>
      <c r="AK35" s="4">
        <f t="shared" si="0"/>
        <v>3419.1251911530908</v>
      </c>
      <c r="AL35" s="4">
        <f t="shared" si="9"/>
        <v>2555.1979559755287</v>
      </c>
      <c r="AM35" s="4">
        <f>'Ajuste de Volumen'!AM35*AR35/1000000</f>
        <v>3419.1251911530903</v>
      </c>
      <c r="AN35" s="4">
        <f t="shared" si="10"/>
        <v>2555.1979559755287</v>
      </c>
      <c r="AO35" s="4">
        <f>'Ajuste de Volumen'!AO35*AR35/1000000</f>
        <v>0</v>
      </c>
      <c r="AP35" s="19">
        <f t="shared" si="3"/>
        <v>0</v>
      </c>
      <c r="AQ35" s="19" t="e">
        <f t="shared" si="4"/>
        <v>#DIV/0!</v>
      </c>
      <c r="AR35" s="113">
        <v>36646.572252444697</v>
      </c>
    </row>
    <row r="36" spans="1:45" x14ac:dyDescent="0.2">
      <c r="A36" s="296">
        <f>'Ajuste de Volumen'!A36</f>
        <v>20130326</v>
      </c>
      <c r="B36" s="4">
        <f>'Ajuste de Volumen'!B36*AR36/1000000</f>
        <v>3.6646572252444699E-2</v>
      </c>
      <c r="C36" s="4">
        <f>'Ajuste de Volumen'!C36*AR36/1000000</f>
        <v>15.68473292404633</v>
      </c>
      <c r="D36" s="4">
        <f>'Ajuste de Volumen'!D36*AR36/1000000</f>
        <v>57.461825291833286</v>
      </c>
      <c r="E36" s="4">
        <f>'Ajuste de Volumen'!E36*AR36/1000000</f>
        <v>108.32726757822654</v>
      </c>
      <c r="F36" s="4">
        <f>'Ajuste de Volumen'!F36*AR36/1000000</f>
        <v>7.3293144504889399E-2</v>
      </c>
      <c r="G36" s="4">
        <f>'Ajuste de Volumen'!G36*AR36/1000000</f>
        <v>451.52241672237108</v>
      </c>
      <c r="H36" s="4">
        <f>'Ajuste de Volumen'!H36*AR36/1000000</f>
        <v>39.431711743630494</v>
      </c>
      <c r="I36" s="4">
        <f>'Ajuste de Volumen'!I36*AR36/1000000</f>
        <v>298.55962414066698</v>
      </c>
      <c r="J36" s="4">
        <f>'Ajuste de Volumen'!J36*AR36/1000000</f>
        <v>3.4814243639822462</v>
      </c>
      <c r="K36" s="4">
        <f>'Ajuste de Volumen'!K36*AR36/1000000</f>
        <v>1007.4142712197048</v>
      </c>
      <c r="L36" s="4">
        <f>'Ajuste de Volumen'!L36*AR36/1000000</f>
        <v>78.863423487260988</v>
      </c>
      <c r="M36" s="4">
        <f>'Ajuste de Volumen'!M36*AR36/1000000</f>
        <v>16.38101779684278</v>
      </c>
      <c r="N36" s="4">
        <f>'Ajuste de Volumen'!N36*AR36/1000000</f>
        <v>378.8522639457733</v>
      </c>
      <c r="O36" s="4">
        <f>'Ajuste de Volumen'!O36*AR36/1000000</f>
        <v>383.87284434435821</v>
      </c>
      <c r="P36" s="4">
        <f>'Ajuste de Volumen'!P36*AR36/1000000</f>
        <v>103.08680774612694</v>
      </c>
      <c r="Q36" s="4">
        <f>'Ajuste de Volumen'!Q36*AR36/1000000</f>
        <v>9.1616430631111747</v>
      </c>
      <c r="R36" s="4">
        <f>'Ajuste de Volumen'!R36*AR36/1000000</f>
        <v>61.30971537833998</v>
      </c>
      <c r="S36" s="4">
        <f>'Ajuste de Volumen'!S36*AR36/1000000</f>
        <v>202.98536370629117</v>
      </c>
      <c r="T36" s="4">
        <f>'Ajuste de Volumen'!T36*AR36/1000000</f>
        <v>214.74891339932594</v>
      </c>
      <c r="U36" s="4">
        <f>'Ajuste de Volumen'!U36*AR36/1000000</f>
        <v>0</v>
      </c>
      <c r="V36" s="4">
        <f>'Ajuste de Volumen'!V36*AR36/1000000</f>
        <v>0</v>
      </c>
      <c r="W36" s="4">
        <f>'Ajuste de Volumen'!W36*AR36/1000000</f>
        <v>0</v>
      </c>
      <c r="X36" s="4">
        <f>'Ajuste de Volumen'!X36*AR36/1000000</f>
        <v>0</v>
      </c>
      <c r="Y36" s="4">
        <f>'Ajuste de Volumen'!Y36*AR36/1000000</f>
        <v>0</v>
      </c>
      <c r="Z36" s="4">
        <f>'Ajuste de Volumen'!Z36*AS36/1000000</f>
        <v>0</v>
      </c>
      <c r="AA36" s="4">
        <f>'Ajuste de Volumen'!AA36*AR36/1000000</f>
        <v>0</v>
      </c>
      <c r="AB36" s="4">
        <f>'Ajuste de Volumen'!AB36*AR36/1000000</f>
        <v>0</v>
      </c>
      <c r="AC36" s="4">
        <f>'Ajuste de Volumen'!AC36*$AR36/1000000</f>
        <v>0</v>
      </c>
      <c r="AD36" s="4">
        <f>'Ajuste de Volumen'!AD36*$AR36/1000000</f>
        <v>0</v>
      </c>
      <c r="AE36" s="4">
        <f>'Ajuste de Volumen'!AE36*$AR36/1000000</f>
        <v>0</v>
      </c>
      <c r="AF36" s="4">
        <f>'Ajuste de Volumen'!AF36*$AR36/1000000</f>
        <v>0</v>
      </c>
      <c r="AG36" s="4">
        <f>'Ajuste de Volumen'!AG36*$AR36/1000000</f>
        <v>0</v>
      </c>
      <c r="AH36" s="4">
        <f>'Ajuste de Volumen'!AH36*$AR36/1000000</f>
        <v>0</v>
      </c>
      <c r="AI36" s="4">
        <f>'Ajuste de Volumen'!AI36*$AR36/1000000</f>
        <v>0</v>
      </c>
      <c r="AJ36" s="4">
        <f>'Ajuste de Volumen'!AJ36*$AR36/1000000</f>
        <v>0</v>
      </c>
      <c r="AK36" s="4">
        <f t="shared" si="0"/>
        <v>3431.2552065686491</v>
      </c>
      <c r="AL36" s="4">
        <f t="shared" si="9"/>
        <v>2555.1979559755287</v>
      </c>
      <c r="AM36" s="4">
        <f>'Ajuste de Volumen'!AM36*AR36/1000000</f>
        <v>3431.2552065686491</v>
      </c>
      <c r="AN36" s="4">
        <f t="shared" si="10"/>
        <v>2555.1979559755287</v>
      </c>
      <c r="AO36" s="4">
        <f>'Ajuste de Volumen'!AO36*AR36/1000000</f>
        <v>0</v>
      </c>
      <c r="AP36" s="19">
        <f t="shared" si="3"/>
        <v>0</v>
      </c>
      <c r="AQ36" s="19" t="e">
        <f t="shared" si="4"/>
        <v>#DIV/0!</v>
      </c>
      <c r="AR36" s="113">
        <v>36646.572252444697</v>
      </c>
    </row>
    <row r="37" spans="1:45" x14ac:dyDescent="0.2">
      <c r="A37" s="296">
        <f>'Ajuste de Volumen'!A37</f>
        <v>20130327</v>
      </c>
      <c r="B37" s="4">
        <f>'Ajuste de Volumen'!B37*AR37/1000000</f>
        <v>3.6646572252444699E-2</v>
      </c>
      <c r="C37" s="4">
        <f>'Ajuste de Volumen'!C37*AR37/1000000</f>
        <v>14.182223461696097</v>
      </c>
      <c r="D37" s="4">
        <f>'Ajuste de Volumen'!D37*AR37/1000000</f>
        <v>31.625991853859773</v>
      </c>
      <c r="E37" s="4">
        <f>'Ajuste de Volumen'!E37*AR37/1000000</f>
        <v>23.160633663545049</v>
      </c>
      <c r="F37" s="4">
        <f>'Ajuste de Volumen'!F37*AR37/1000000</f>
        <v>7.3293144504889399E-2</v>
      </c>
      <c r="G37" s="4">
        <f>'Ajuste de Volumen'!G37*AR37/1000000</f>
        <v>155.89451836189974</v>
      </c>
      <c r="H37" s="4">
        <f>'Ajuste de Volumen'!H37*AR37/1000000</f>
        <v>38.588840581824265</v>
      </c>
      <c r="I37" s="4">
        <f>'Ajuste de Volumen'!I37*AR37/1000000</f>
        <v>287.74888532619576</v>
      </c>
      <c r="J37" s="4">
        <f>'Ajuste de Volumen'!J37*AR37/1000000</f>
        <v>0</v>
      </c>
      <c r="K37" s="4">
        <f>'Ajuste de Volumen'!K37*AR37/1000000</f>
        <v>838.54686628043964</v>
      </c>
      <c r="L37" s="4">
        <f>'Ajuste de Volumen'!L37*AR37/1000000</f>
        <v>75.125473117511632</v>
      </c>
      <c r="M37" s="4">
        <f>'Ajuste de Volumen'!M37*AR37/1000000</f>
        <v>7.3293144504889399E-2</v>
      </c>
      <c r="N37" s="4">
        <f>'Ajuste de Volumen'!N37*AR37/1000000</f>
        <v>390.65246021106049</v>
      </c>
      <c r="O37" s="4">
        <f>'Ajuste de Volumen'!O37*AR37/1000000</f>
        <v>276.75491365046236</v>
      </c>
      <c r="P37" s="4">
        <f>'Ajuste de Volumen'!P37*AR37/1000000</f>
        <v>9.271582779868508</v>
      </c>
      <c r="Q37" s="4">
        <f>'Ajuste de Volumen'!Q37*AR37/1000000</f>
        <v>8.4653581903147259</v>
      </c>
      <c r="R37" s="4">
        <f>'Ajuste de Volumen'!R37*AR37/1000000</f>
        <v>44.23241270870075</v>
      </c>
      <c r="S37" s="4">
        <f>'Ajuste de Volumen'!S37*AR37/1000000</f>
        <v>213.57622308724771</v>
      </c>
      <c r="T37" s="4">
        <f>'Ajuste de Volumen'!T37*AR37/1000000</f>
        <v>30.050189247004649</v>
      </c>
      <c r="U37" s="4">
        <f>'Ajuste de Volumen'!U37*AR37/1000000</f>
        <v>0</v>
      </c>
      <c r="V37" s="4">
        <f>'Ajuste de Volumen'!V37*AR37/1000000</f>
        <v>0</v>
      </c>
      <c r="W37" s="4">
        <f>'Ajuste de Volumen'!W37*AR37/1000000</f>
        <v>0</v>
      </c>
      <c r="X37" s="4">
        <f>'Ajuste de Volumen'!X37*AR37/1000000</f>
        <v>0</v>
      </c>
      <c r="Y37" s="4">
        <f>'Ajuste de Volumen'!Y37*AR37/1000000</f>
        <v>0</v>
      </c>
      <c r="Z37" s="4">
        <f>'Ajuste de Volumen'!Z37*AS37/1000000</f>
        <v>0</v>
      </c>
      <c r="AA37" s="4">
        <f>'Ajuste de Volumen'!AA37*AR37/1000000</f>
        <v>0</v>
      </c>
      <c r="AB37" s="4">
        <f>'Ajuste de Volumen'!AB37*AR37/1000000</f>
        <v>0</v>
      </c>
      <c r="AC37" s="4">
        <f>'Ajuste de Volumen'!AC37*$AR37/1000000</f>
        <v>0</v>
      </c>
      <c r="AD37" s="4">
        <f>'Ajuste de Volumen'!AD37*$AR37/1000000</f>
        <v>0</v>
      </c>
      <c r="AE37" s="4">
        <f>'Ajuste de Volumen'!AE37*$AR37/1000000</f>
        <v>0</v>
      </c>
      <c r="AF37" s="4">
        <f>'Ajuste de Volumen'!AF37*$AR37/1000000</f>
        <v>0</v>
      </c>
      <c r="AG37" s="4">
        <f>'Ajuste de Volumen'!AG37*$AR37/1000000</f>
        <v>0</v>
      </c>
      <c r="AH37" s="4">
        <f>'Ajuste de Volumen'!AH37*$AR37/1000000</f>
        <v>0</v>
      </c>
      <c r="AI37" s="4">
        <f>'Ajuste de Volumen'!AI37*$AR37/1000000</f>
        <v>0</v>
      </c>
      <c r="AJ37" s="4">
        <f>'Ajuste de Volumen'!AJ37*$AR37/1000000</f>
        <v>0</v>
      </c>
      <c r="AK37" s="4">
        <f t="shared" si="0"/>
        <v>2438.0598053828935</v>
      </c>
      <c r="AL37" s="4">
        <f t="shared" si="9"/>
        <v>2555.1979559755287</v>
      </c>
      <c r="AM37" s="4">
        <f>'Ajuste de Volumen'!AM37*AR37/1000000</f>
        <v>2438.059805382893</v>
      </c>
      <c r="AN37" s="4">
        <f t="shared" si="10"/>
        <v>2555.1979559755287</v>
      </c>
      <c r="AO37" s="4">
        <f>'Ajuste de Volumen'!AO37*AR37/1000000</f>
        <v>0</v>
      </c>
      <c r="AP37" s="19">
        <f t="shared" si="3"/>
        <v>0</v>
      </c>
      <c r="AQ37" s="19" t="e">
        <f t="shared" si="4"/>
        <v>#DIV/0!</v>
      </c>
      <c r="AR37" s="113">
        <v>36646.572252444697</v>
      </c>
    </row>
    <row r="38" spans="1:45" x14ac:dyDescent="0.2">
      <c r="A38" s="296">
        <f>'Ajuste de Volumen'!A38</f>
        <v>20130328</v>
      </c>
      <c r="B38" s="4">
        <f>'Ajuste de Volumen'!B38*AR38/1000000</f>
        <v>0</v>
      </c>
      <c r="C38" s="4">
        <f>'Ajuste de Volumen'!C38*AR38/1000000</f>
        <v>0</v>
      </c>
      <c r="D38" s="4">
        <f>'Ajuste de Volumen'!D38*AR38/1000000</f>
        <v>0.36646572252444698</v>
      </c>
      <c r="E38" s="4">
        <f>'Ajuste de Volumen'!E38*AR38/1000000</f>
        <v>0</v>
      </c>
      <c r="F38" s="4">
        <f>'Ajuste de Volumen'!F38*AR38/1000000</f>
        <v>0</v>
      </c>
      <c r="G38" s="4">
        <f>'Ajuste de Volumen'!G38*AR38/1000000</f>
        <v>0</v>
      </c>
      <c r="H38" s="4">
        <f>'Ajuste de Volumen'!H38*AR38/1000000</f>
        <v>32.981915027200223</v>
      </c>
      <c r="I38" s="4">
        <f>'Ajuste de Volumen'!I38*AR38/1000000</f>
        <v>292.18312056874157</v>
      </c>
      <c r="J38" s="4">
        <f>'Ajuste de Volumen'!J38*AR38/1000000</f>
        <v>0</v>
      </c>
      <c r="K38" s="4">
        <f>'Ajuste de Volumen'!K38*AR38/1000000</f>
        <v>87.951773405867272</v>
      </c>
      <c r="L38" s="4">
        <f>'Ajuste de Volumen'!L38*AR38/1000000</f>
        <v>46.504500188352324</v>
      </c>
      <c r="M38" s="4">
        <f>'Ajuste de Volumen'!M38*AR38/1000000</f>
        <v>0</v>
      </c>
      <c r="N38" s="4">
        <f>'Ajuste de Volumen'!N38*AR38/1000000</f>
        <v>371.37636320627456</v>
      </c>
      <c r="O38" s="4">
        <f>'Ajuste de Volumen'!O38*AR38/1000000</f>
        <v>0</v>
      </c>
      <c r="P38" s="4">
        <f>'Ajuste de Volumen'!P38*AR38/1000000</f>
        <v>0</v>
      </c>
      <c r="Q38" s="4">
        <f>'Ajuste de Volumen'!Q38*AR38/1000000</f>
        <v>0.18323286126222349</v>
      </c>
      <c r="R38" s="4">
        <f>'Ajuste de Volumen'!R38*AR38/1000000</f>
        <v>0</v>
      </c>
      <c r="S38" s="4">
        <f>'Ajuste de Volumen'!S38*AR38/1000000</f>
        <v>219.54961436439618</v>
      </c>
      <c r="T38" s="4">
        <f>'Ajuste de Volumen'!T38*AR38/1000000</f>
        <v>0</v>
      </c>
      <c r="U38" s="4">
        <f>'Ajuste de Volumen'!U38*AR38/1000000</f>
        <v>0</v>
      </c>
      <c r="V38" s="4">
        <f>'Ajuste de Volumen'!V38*AR38/1000000</f>
        <v>0</v>
      </c>
      <c r="W38" s="4">
        <f>'Ajuste de Volumen'!W38*AR38/1000000</f>
        <v>0</v>
      </c>
      <c r="X38" s="4">
        <f>'Ajuste de Volumen'!X38*AR38/1000000</f>
        <v>0</v>
      </c>
      <c r="Y38" s="4">
        <f>'Ajuste de Volumen'!Y38*AR38/1000000</f>
        <v>0</v>
      </c>
      <c r="Z38" s="4">
        <f>'Ajuste de Volumen'!Z38*AS38/1000000</f>
        <v>0</v>
      </c>
      <c r="AA38" s="4">
        <f>'Ajuste de Volumen'!AA38*AR38/1000000</f>
        <v>0</v>
      </c>
      <c r="AB38" s="4">
        <f>'Ajuste de Volumen'!AB38*AR38/1000000</f>
        <v>0</v>
      </c>
      <c r="AC38" s="4">
        <f>'Ajuste de Volumen'!AC38*$AR38/1000000</f>
        <v>0</v>
      </c>
      <c r="AD38" s="4">
        <f>'Ajuste de Volumen'!AD38*$AR38/1000000</f>
        <v>0</v>
      </c>
      <c r="AE38" s="4">
        <f>'Ajuste de Volumen'!AE38*$AR38/1000000</f>
        <v>0</v>
      </c>
      <c r="AF38" s="4">
        <f>'Ajuste de Volumen'!AF38*$AR38/1000000</f>
        <v>0</v>
      </c>
      <c r="AG38" s="4">
        <f>'Ajuste de Volumen'!AG38*$AR38/1000000</f>
        <v>0</v>
      </c>
      <c r="AH38" s="4">
        <f>'Ajuste de Volumen'!AH38*$AR38/1000000</f>
        <v>0</v>
      </c>
      <c r="AI38" s="4">
        <f>'Ajuste de Volumen'!AI38*$AR38/1000000</f>
        <v>0</v>
      </c>
      <c r="AJ38" s="4">
        <f>'Ajuste de Volumen'!AJ38*$AR38/1000000</f>
        <v>0</v>
      </c>
      <c r="AK38" s="4">
        <f t="shared" si="0"/>
        <v>1051.0969853446188</v>
      </c>
      <c r="AL38" s="4">
        <f t="shared" si="9"/>
        <v>2555.1979559755287</v>
      </c>
      <c r="AM38" s="4">
        <f>'Ajuste de Volumen'!AM38*AR38/1000000</f>
        <v>1051.0969853446188</v>
      </c>
      <c r="AN38" s="4">
        <f>AVERAGE($AM$32:$AM$38)</f>
        <v>2555.1979559755287</v>
      </c>
      <c r="AO38" s="4">
        <f>'Ajuste de Volumen'!AO38*AR38/1000000</f>
        <v>0</v>
      </c>
      <c r="AP38" s="19">
        <f t="shared" si="3"/>
        <v>0</v>
      </c>
      <c r="AQ38" s="19" t="e">
        <f t="shared" si="4"/>
        <v>#DIV/0!</v>
      </c>
      <c r="AR38" s="113">
        <v>36646.572252444697</v>
      </c>
    </row>
    <row r="39" spans="1:45" x14ac:dyDescent="0.2">
      <c r="A39" s="296">
        <f>'Ajuste de Volumen'!A39</f>
        <v>20130329</v>
      </c>
      <c r="B39" s="4">
        <f>'Ajuste de Volumen'!B39*AR39/1000000</f>
        <v>0</v>
      </c>
      <c r="C39" s="4">
        <f>'Ajuste de Volumen'!C39*AR39/1000000</f>
        <v>0</v>
      </c>
      <c r="D39" s="4">
        <f>'Ajuste de Volumen'!D39*AR39/1000000</f>
        <v>0.36646572252444698</v>
      </c>
      <c r="E39" s="4">
        <f>'Ajuste de Volumen'!E39*AR39/1000000</f>
        <v>0</v>
      </c>
      <c r="F39" s="4">
        <f>'Ajuste de Volumen'!F39*AR39/1000000</f>
        <v>0</v>
      </c>
      <c r="G39" s="4">
        <f>'Ajuste de Volumen'!G39*AR39/1000000</f>
        <v>0</v>
      </c>
      <c r="H39" s="4">
        <f>'Ajuste de Volumen'!H39*AR39/1000000</f>
        <v>6.3765035719253778</v>
      </c>
      <c r="I39" s="4">
        <f>'Ajuste de Volumen'!I39*AR39/1000000</f>
        <v>269.13242662195387</v>
      </c>
      <c r="J39" s="4">
        <f>'Ajuste de Volumen'!J39*AR39/1000000</f>
        <v>0</v>
      </c>
      <c r="K39" s="4">
        <f>'Ajuste de Volumen'!K39*AR39/1000000</f>
        <v>77.507500313920531</v>
      </c>
      <c r="L39" s="4">
        <f>'Ajuste de Volumen'!L39*AR39/1000000</f>
        <v>0</v>
      </c>
      <c r="M39" s="4">
        <f>'Ajuste de Volumen'!M39*AR39/1000000</f>
        <v>0</v>
      </c>
      <c r="N39" s="4">
        <f>'Ajuste de Volumen'!N39*AR39/1000000</f>
        <v>383.32314576057155</v>
      </c>
      <c r="O39" s="4">
        <f>'Ajuste de Volumen'!O39*AR39/1000000</f>
        <v>0</v>
      </c>
      <c r="P39" s="4">
        <f>'Ajuste de Volumen'!P39*AR39/1000000</f>
        <v>0</v>
      </c>
      <c r="Q39" s="4">
        <f>'Ajuste de Volumen'!Q39*AR39/1000000</f>
        <v>0.1099397167573341</v>
      </c>
      <c r="R39" s="4">
        <f>'Ajuste de Volumen'!R39*AR39/1000000</f>
        <v>0</v>
      </c>
      <c r="S39" s="4">
        <f>'Ajuste de Volumen'!S39*AR39/1000000</f>
        <v>222.994392156126</v>
      </c>
      <c r="T39" s="4">
        <f>'Ajuste de Volumen'!T39*AR39/1000000</f>
        <v>0.1099397167573341</v>
      </c>
      <c r="U39" s="4">
        <f>'Ajuste de Volumen'!U39*AR39/1000000</f>
        <v>0</v>
      </c>
      <c r="V39" s="4">
        <f>'Ajuste de Volumen'!V39*AR39/1000000</f>
        <v>0</v>
      </c>
      <c r="W39" s="4">
        <f>'Ajuste de Volumen'!W39*AR39/1000000</f>
        <v>0</v>
      </c>
      <c r="X39" s="4">
        <f>'Ajuste de Volumen'!X39*AR39/1000000</f>
        <v>0</v>
      </c>
      <c r="Y39" s="4">
        <f>'Ajuste de Volumen'!Y39*AR39/1000000</f>
        <v>0</v>
      </c>
      <c r="Z39" s="4">
        <f>'Ajuste de Volumen'!Z39*AS39/1000000</f>
        <v>0</v>
      </c>
      <c r="AA39" s="4">
        <f>'Ajuste de Volumen'!AA39*AR39/1000000</f>
        <v>0</v>
      </c>
      <c r="AB39" s="4">
        <f>'Ajuste de Volumen'!AB39*AR39/1000000</f>
        <v>0</v>
      </c>
      <c r="AC39" s="4">
        <f>'Ajuste de Volumen'!AC39*$AR39/1000000</f>
        <v>0</v>
      </c>
      <c r="AD39" s="4">
        <f>'Ajuste de Volumen'!AD39*$AR39/1000000</f>
        <v>0</v>
      </c>
      <c r="AE39" s="4">
        <f>'Ajuste de Volumen'!AE39*$AR39/1000000</f>
        <v>0</v>
      </c>
      <c r="AF39" s="4">
        <f>'Ajuste de Volumen'!AF39*$AR39/1000000</f>
        <v>0</v>
      </c>
      <c r="AG39" s="4">
        <f>'Ajuste de Volumen'!AG39*$AR39/1000000</f>
        <v>0</v>
      </c>
      <c r="AH39" s="4">
        <f>'Ajuste de Volumen'!AH39*$AR39/1000000</f>
        <v>0</v>
      </c>
      <c r="AI39" s="4">
        <f>'Ajuste de Volumen'!AI39*$AR39/1000000</f>
        <v>0</v>
      </c>
      <c r="AJ39" s="4">
        <f>'Ajuste de Volumen'!AJ39*$AR39/1000000</f>
        <v>0</v>
      </c>
      <c r="AK39" s="4">
        <f t="shared" si="0"/>
        <v>959.92031358053646</v>
      </c>
      <c r="AL39" s="4">
        <f>AVERAGE($AK$39:$AK$41)</f>
        <v>1099.555969386435</v>
      </c>
      <c r="AM39" s="4">
        <f>'Ajuste de Volumen'!AM39*AR39/1000000</f>
        <v>959.92031358053634</v>
      </c>
      <c r="AN39" s="4">
        <f>AVERAGE($AM$39:$AM$41)</f>
        <v>1099.5559693864348</v>
      </c>
      <c r="AO39" s="4">
        <f>'Ajuste de Volumen'!AO39*AR39/1000000</f>
        <v>0</v>
      </c>
      <c r="AP39" s="19">
        <f t="shared" si="3"/>
        <v>-2.0678681374456025E-16</v>
      </c>
      <c r="AQ39" s="19" t="e">
        <f t="shared" si="4"/>
        <v>#DIV/0!</v>
      </c>
      <c r="AR39" s="113">
        <v>36646.572252444697</v>
      </c>
    </row>
    <row r="40" spans="1:45" x14ac:dyDescent="0.2">
      <c r="A40" s="296">
        <f>'Ajuste de Volumen'!A40</f>
        <v>20130330</v>
      </c>
      <c r="B40" s="4">
        <f>'Ajuste de Volumen'!B40*AR40/1000000</f>
        <v>0</v>
      </c>
      <c r="C40" s="4">
        <f>'Ajuste de Volumen'!C40*AR40/1000000</f>
        <v>0</v>
      </c>
      <c r="D40" s="4">
        <f>'Ajuste de Volumen'!D40*AR40/1000000</f>
        <v>0</v>
      </c>
      <c r="E40" s="4">
        <f>'Ajuste de Volumen'!E40*AR40/1000000</f>
        <v>0</v>
      </c>
      <c r="F40" s="4">
        <f>'Ajuste de Volumen'!F40*AR40/1000000</f>
        <v>0</v>
      </c>
      <c r="G40" s="4">
        <f>'Ajuste de Volumen'!G40*AR40/1000000</f>
        <v>0</v>
      </c>
      <c r="H40" s="4">
        <f>'Ajuste de Volumen'!H40*AR40/1000000</f>
        <v>35.730407946133575</v>
      </c>
      <c r="I40" s="4">
        <f>'Ajuste de Volumen'!I40*AR40/1000000</f>
        <v>271.69768667962495</v>
      </c>
      <c r="J40" s="4">
        <f>'Ajuste de Volumen'!J40*AR40/1000000</f>
        <v>0</v>
      </c>
      <c r="K40" s="4">
        <f>'Ajuste de Volumen'!K40*AR40/1000000</f>
        <v>69.335314701625379</v>
      </c>
      <c r="L40" s="4">
        <f>'Ajuste de Volumen'!L40*AR40/1000000</f>
        <v>0</v>
      </c>
      <c r="M40" s="4">
        <f>'Ajuste de Volumen'!M40*AR40/1000000</f>
        <v>0.1099397167573341</v>
      </c>
      <c r="N40" s="4">
        <f>'Ajuste de Volumen'!N40*AR40/1000000</f>
        <v>368.22475799256432</v>
      </c>
      <c r="O40" s="4">
        <f>'Ajuste de Volumen'!O40*AR40/1000000</f>
        <v>11.580316831772524</v>
      </c>
      <c r="P40" s="4">
        <f>'Ajuste de Volumen'!P40*AR40/1000000</f>
        <v>0</v>
      </c>
      <c r="Q40" s="4">
        <f>'Ajuste de Volumen'!Q40*AR40/1000000</f>
        <v>0.18323286126222349</v>
      </c>
      <c r="R40" s="4">
        <f>'Ajuste de Volumen'!R40*AR40/1000000</f>
        <v>0</v>
      </c>
      <c r="S40" s="4">
        <f>'Ajuste de Volumen'!S40*AR40/1000000</f>
        <v>225.92611793632156</v>
      </c>
      <c r="T40" s="4">
        <f>'Ajuste de Volumen'!T40*AR40/1000000</f>
        <v>0</v>
      </c>
      <c r="U40" s="4">
        <f>'Ajuste de Volumen'!U40*AR40/1000000</f>
        <v>0</v>
      </c>
      <c r="V40" s="4">
        <f>'Ajuste de Volumen'!V40*AR40/1000000</f>
        <v>0</v>
      </c>
      <c r="W40" s="4">
        <f>'Ajuste de Volumen'!W40*AR40/1000000</f>
        <v>0</v>
      </c>
      <c r="X40" s="4">
        <f>'Ajuste de Volumen'!X40*AR40/1000000</f>
        <v>0</v>
      </c>
      <c r="Y40" s="4">
        <f>'Ajuste de Volumen'!Y40*AR40/1000000</f>
        <v>0</v>
      </c>
      <c r="Z40" s="4">
        <f>'Ajuste de Volumen'!Z40*AS40/1000000</f>
        <v>0</v>
      </c>
      <c r="AA40" s="4">
        <f>'Ajuste de Volumen'!AA40*AR40/1000000</f>
        <v>0</v>
      </c>
      <c r="AB40" s="4">
        <f>'Ajuste de Volumen'!AB40*AR40/1000000</f>
        <v>0</v>
      </c>
      <c r="AC40" s="4">
        <f>'Ajuste de Volumen'!AC40*$AR40/1000000</f>
        <v>0</v>
      </c>
      <c r="AD40" s="4">
        <f>'Ajuste de Volumen'!AD40*$AR40/1000000</f>
        <v>0</v>
      </c>
      <c r="AE40" s="4">
        <f>'Ajuste de Volumen'!AE40*$AR40/1000000</f>
        <v>0</v>
      </c>
      <c r="AF40" s="4">
        <f>'Ajuste de Volumen'!AF40*$AR40/1000000</f>
        <v>0</v>
      </c>
      <c r="AG40" s="4">
        <f>'Ajuste de Volumen'!AG40*$AR40/1000000</f>
        <v>0</v>
      </c>
      <c r="AH40" s="4">
        <f>'Ajuste de Volumen'!AH40*$AR40/1000000</f>
        <v>0</v>
      </c>
      <c r="AI40" s="4">
        <f>'Ajuste de Volumen'!AI40*$AR40/1000000</f>
        <v>0</v>
      </c>
      <c r="AJ40" s="4">
        <f>'Ajuste de Volumen'!AJ40*$AR40/1000000</f>
        <v>0</v>
      </c>
      <c r="AK40" s="4">
        <f t="shared" si="0"/>
        <v>982.78777466606186</v>
      </c>
      <c r="AL40" s="4">
        <f>AVERAGE($AK$39:$AK$41)</f>
        <v>1099.555969386435</v>
      </c>
      <c r="AM40" s="4">
        <f>'Ajuste de Volumen'!AM40*AR40/1000000</f>
        <v>982.78777466606186</v>
      </c>
      <c r="AN40" s="4">
        <f>AVERAGE($AM$39:$AM$41)</f>
        <v>1099.5559693864348</v>
      </c>
      <c r="AO40" s="4">
        <f>'Ajuste de Volumen'!AO40*AR40/1000000</f>
        <v>0</v>
      </c>
      <c r="AP40" s="19">
        <f t="shared" si="3"/>
        <v>-2.0678681374456025E-16</v>
      </c>
      <c r="AQ40" s="19" t="e">
        <f t="shared" si="4"/>
        <v>#DIV/0!</v>
      </c>
      <c r="AR40" s="113">
        <v>36646.572252444697</v>
      </c>
    </row>
    <row r="41" spans="1:45" x14ac:dyDescent="0.2">
      <c r="A41" s="296">
        <f>'Ajuste de Volumen'!A41</f>
        <v>20130331</v>
      </c>
      <c r="B41" s="4">
        <f>'Ajuste de Volumen'!B41*AR41/1000000</f>
        <v>0</v>
      </c>
      <c r="C41" s="4">
        <f>'Ajuste de Volumen'!C41*AR41/1000000</f>
        <v>0</v>
      </c>
      <c r="D41" s="4">
        <f>'Ajuste de Volumen'!D41*AR41/1000000</f>
        <v>27.301696328071301</v>
      </c>
      <c r="E41" s="4">
        <f>'Ajuste de Volumen'!E41*AR41/1000000</f>
        <v>17.48041496441612</v>
      </c>
      <c r="F41" s="4">
        <f>'Ajuste de Volumen'!F41*AR41/1000000</f>
        <v>0</v>
      </c>
      <c r="G41" s="4">
        <f>'Ajuste de Volumen'!G41*AR41/1000000</f>
        <v>121.88649931163107</v>
      </c>
      <c r="H41" s="4">
        <f>'Ajuste de Volumen'!H41*AR41/1000000</f>
        <v>36.829805113706925</v>
      </c>
      <c r="I41" s="4">
        <f>'Ajuste de Volumen'!I41*AR41/1000000</f>
        <v>276.90149993947216</v>
      </c>
      <c r="J41" s="4">
        <f>'Ajuste de Volumen'!J41*AR41/1000000</f>
        <v>4.2876489535360296</v>
      </c>
      <c r="K41" s="4">
        <f>'Ajuste de Volumen'!K41*AR41/1000000</f>
        <v>230.87340519040163</v>
      </c>
      <c r="L41" s="4">
        <f>'Ajuste de Volumen'!L41*AR41/1000000</f>
        <v>10.29768680293696</v>
      </c>
      <c r="M41" s="4">
        <f>'Ajuste de Volumen'!M41*AR41/1000000</f>
        <v>0</v>
      </c>
      <c r="N41" s="4">
        <f>'Ajuste de Volumen'!N41*AR41/1000000</f>
        <v>329.67256398299247</v>
      </c>
      <c r="O41" s="4">
        <f>'Ajuste de Volumen'!O41*AR41/1000000</f>
        <v>34.850890212074908</v>
      </c>
      <c r="P41" s="4">
        <f>'Ajuste de Volumen'!P41*AR41/1000000</f>
        <v>47.347371350158546</v>
      </c>
      <c r="Q41" s="4">
        <f>'Ajuste de Volumen'!Q41*AR41/1000000</f>
        <v>0.87951773405867284</v>
      </c>
      <c r="R41" s="4">
        <f>'Ajuste de Volumen'!R41*AR41/1000000</f>
        <v>0</v>
      </c>
      <c r="S41" s="4">
        <f>'Ajuste de Volumen'!S41*AR41/1000000</f>
        <v>213.50292994274278</v>
      </c>
      <c r="T41" s="4">
        <f>'Ajuste de Volumen'!T41*AR41/1000000</f>
        <v>3.8478900865066938</v>
      </c>
      <c r="U41" s="4">
        <f>'Ajuste de Volumen'!U41*AR41/1000000</f>
        <v>0</v>
      </c>
      <c r="V41" s="4">
        <f>'Ajuste de Volumen'!V41*AR41/1000000</f>
        <v>0</v>
      </c>
      <c r="W41" s="4">
        <f>'Ajuste de Volumen'!W41*AR41/1000000</f>
        <v>0</v>
      </c>
      <c r="X41" s="4">
        <f>'Ajuste de Volumen'!X41*AR41/1000000</f>
        <v>0</v>
      </c>
      <c r="Y41" s="4">
        <f>'Ajuste de Volumen'!Y41*AR41/1000000</f>
        <v>0</v>
      </c>
      <c r="Z41" s="4">
        <f>'Ajuste de Volumen'!Z41*AS41/1000000</f>
        <v>0</v>
      </c>
      <c r="AA41" s="4">
        <f>'Ajuste de Volumen'!AA41*AR41/1000000</f>
        <v>0</v>
      </c>
      <c r="AB41" s="4">
        <f>'Ajuste de Volumen'!AB41*AR41/1000000</f>
        <v>0</v>
      </c>
      <c r="AC41" s="4">
        <f>'Ajuste de Volumen'!AC41*$AR41/1000000</f>
        <v>0</v>
      </c>
      <c r="AD41" s="4">
        <f>'Ajuste de Volumen'!AD41*$AR41/1000000</f>
        <v>0</v>
      </c>
      <c r="AE41" s="4">
        <f>'Ajuste de Volumen'!AE41*$AR41/1000000</f>
        <v>0</v>
      </c>
      <c r="AF41" s="4">
        <f>'Ajuste de Volumen'!AF41*$AR41/1000000</f>
        <v>0</v>
      </c>
      <c r="AG41" s="4">
        <f>'Ajuste de Volumen'!AG41*$AR41/1000000</f>
        <v>0</v>
      </c>
      <c r="AH41" s="4">
        <f>'Ajuste de Volumen'!AH41*$AR41/1000000</f>
        <v>0</v>
      </c>
      <c r="AI41" s="4">
        <f>'Ajuste de Volumen'!AI41*$AR41/1000000</f>
        <v>0</v>
      </c>
      <c r="AJ41" s="4">
        <f>'Ajuste de Volumen'!AJ41*$AR41/1000000</f>
        <v>0</v>
      </c>
      <c r="AK41" s="4">
        <f t="shared" si="0"/>
        <v>1355.9598199127063</v>
      </c>
      <c r="AL41" s="4">
        <f>AVERAGE($AK$39:$AK$41)</f>
        <v>1099.555969386435</v>
      </c>
      <c r="AM41" s="4">
        <f>'Ajuste de Volumen'!AM41*AR41/1000000</f>
        <v>1355.9598199127061</v>
      </c>
      <c r="AN41" s="4">
        <f>AVERAGE($AM$39:$AM$41)</f>
        <v>1099.5559693864348</v>
      </c>
      <c r="AO41" s="4">
        <f>'Ajuste de Volumen'!AO41*AR41/1000000</f>
        <v>0</v>
      </c>
      <c r="AP41" s="19">
        <f t="shared" si="3"/>
        <v>-2.0678681374456025E-16</v>
      </c>
      <c r="AQ41" s="19" t="e">
        <f t="shared" si="4"/>
        <v>#DIV/0!</v>
      </c>
      <c r="AR41" s="113">
        <v>36646.572252444697</v>
      </c>
    </row>
    <row r="42" spans="1:45" s="5" customFormat="1" ht="13.5" thickBot="1" x14ac:dyDescent="0.25">
      <c r="A42" s="233" t="s">
        <v>53</v>
      </c>
      <c r="B42" s="234">
        <f>SUM(B11:B41)</f>
        <v>21.234232371181186</v>
      </c>
      <c r="C42" s="234">
        <f t="shared" ref="C42:AF42" si="11">SUM(C11:C41)</f>
        <v>4176.0709078895607</v>
      </c>
      <c r="D42" s="234">
        <f t="shared" si="11"/>
        <v>989.97416044907777</v>
      </c>
      <c r="E42" s="234">
        <f t="shared" si="11"/>
        <v>2729.2602082936623</v>
      </c>
      <c r="F42" s="234">
        <f t="shared" si="11"/>
        <v>2190.3002961444449</v>
      </c>
      <c r="G42" s="234">
        <f t="shared" si="11"/>
        <v>8793.0252811026257</v>
      </c>
      <c r="H42" s="234">
        <f t="shared" si="11"/>
        <v>1139.7796264960748</v>
      </c>
      <c r="I42" s="234">
        <f t="shared" si="11"/>
        <v>10617.169432617768</v>
      </c>
      <c r="J42" s="234">
        <f t="shared" si="11"/>
        <v>919.35258471252303</v>
      </c>
      <c r="K42" s="234">
        <f t="shared" si="11"/>
        <v>18679.699554577302</v>
      </c>
      <c r="L42" s="234">
        <f t="shared" si="11"/>
        <v>1384.8245721644246</v>
      </c>
      <c r="M42" s="234">
        <f t="shared" si="11"/>
        <v>271.8323198906366</v>
      </c>
      <c r="N42" s="234">
        <f t="shared" si="11"/>
        <v>11273.790791106127</v>
      </c>
      <c r="O42" s="234">
        <f t="shared" si="11"/>
        <v>8033.8760839222841</v>
      </c>
      <c r="P42" s="234">
        <f t="shared" si="11"/>
        <v>2381.7883811006982</v>
      </c>
      <c r="Q42" s="234">
        <f t="shared" si="11"/>
        <v>261.51621145078133</v>
      </c>
      <c r="R42" s="234">
        <f t="shared" si="11"/>
        <v>990.40507124813394</v>
      </c>
      <c r="S42" s="234">
        <f t="shared" si="11"/>
        <v>6465.4357114323766</v>
      </c>
      <c r="T42" s="234">
        <f t="shared" si="11"/>
        <v>3684.3466673395887</v>
      </c>
      <c r="U42" s="234">
        <f t="shared" si="11"/>
        <v>0</v>
      </c>
      <c r="V42" s="234">
        <f t="shared" si="11"/>
        <v>0</v>
      </c>
      <c r="W42" s="234">
        <f t="shared" si="11"/>
        <v>0</v>
      </c>
      <c r="X42" s="234">
        <f t="shared" si="11"/>
        <v>0</v>
      </c>
      <c r="Y42" s="234">
        <f t="shared" si="11"/>
        <v>0</v>
      </c>
      <c r="Z42" s="234">
        <f t="shared" si="11"/>
        <v>0</v>
      </c>
      <c r="AA42" s="234">
        <f t="shared" si="11"/>
        <v>0</v>
      </c>
      <c r="AB42" s="234">
        <f t="shared" si="11"/>
        <v>0</v>
      </c>
      <c r="AC42" s="234">
        <f t="shared" si="11"/>
        <v>0</v>
      </c>
      <c r="AD42" s="234">
        <f t="shared" si="11"/>
        <v>0</v>
      </c>
      <c r="AE42" s="234">
        <f t="shared" si="11"/>
        <v>0</v>
      </c>
      <c r="AF42" s="234">
        <f t="shared" si="11"/>
        <v>0</v>
      </c>
      <c r="AG42" s="234">
        <f t="shared" ref="AG42:AO42" si="12">SUM(AG11:AG41)</f>
        <v>0</v>
      </c>
      <c r="AH42" s="234">
        <f t="shared" si="12"/>
        <v>0</v>
      </c>
      <c r="AI42" s="234">
        <f t="shared" ref="AI42:AJ42" si="13">SUM(AI11:AI41)</f>
        <v>0</v>
      </c>
      <c r="AJ42" s="234">
        <f t="shared" si="13"/>
        <v>0</v>
      </c>
      <c r="AK42" s="234">
        <f t="shared" si="12"/>
        <v>85003.682094309246</v>
      </c>
      <c r="AL42" s="234">
        <f t="shared" si="12"/>
        <v>85003.682094309261</v>
      </c>
      <c r="AM42" s="234">
        <f t="shared" si="12"/>
        <v>85003.682094309246</v>
      </c>
      <c r="AN42" s="234">
        <f t="shared" si="12"/>
        <v>85003.682094309261</v>
      </c>
      <c r="AO42" s="234">
        <f t="shared" si="12"/>
        <v>44499.654999999999</v>
      </c>
      <c r="AP42" s="17">
        <f t="shared" si="3"/>
        <v>0</v>
      </c>
      <c r="AQ42" s="17">
        <f t="shared" si="4"/>
        <v>-0.91020991273548668</v>
      </c>
      <c r="AR42" s="234">
        <v>36482.710200000001</v>
      </c>
      <c r="AS42" s="5">
        <f>AR42*0.3048^3/4.1868/0.252</f>
        <v>979.14999294247696</v>
      </c>
    </row>
    <row r="43" spans="1:45" s="6" customFormat="1" x14ac:dyDescent="0.2">
      <c r="A43" s="777" t="s">
        <v>69</v>
      </c>
      <c r="B43" s="778"/>
      <c r="C43" s="778"/>
      <c r="D43" s="778"/>
      <c r="E43" s="778"/>
      <c r="F43" s="778"/>
      <c r="G43" s="778"/>
      <c r="H43" s="778"/>
      <c r="I43" s="778"/>
      <c r="J43" s="778"/>
      <c r="K43" s="778"/>
      <c r="L43" s="778"/>
      <c r="M43" s="778"/>
      <c r="N43" s="778"/>
      <c r="O43" s="778"/>
      <c r="P43" s="778"/>
      <c r="Q43" s="778"/>
      <c r="R43" s="778"/>
      <c r="S43" s="778"/>
      <c r="T43" s="778"/>
      <c r="U43" s="778"/>
      <c r="V43" s="778"/>
      <c r="W43" s="778"/>
      <c r="X43" s="778"/>
      <c r="Y43" s="778"/>
      <c r="Z43" s="778"/>
      <c r="AA43" s="778"/>
      <c r="AB43" s="778"/>
      <c r="AC43" s="778"/>
      <c r="AD43" s="778"/>
      <c r="AE43" s="778"/>
      <c r="AF43" s="778"/>
      <c r="AG43" s="778"/>
      <c r="AH43" s="778"/>
      <c r="AI43" s="778"/>
      <c r="AJ43" s="778"/>
      <c r="AK43" s="778"/>
      <c r="AL43" s="778"/>
      <c r="AM43" s="778"/>
      <c r="AN43" s="778"/>
      <c r="AO43" s="778"/>
      <c r="AP43" s="778"/>
      <c r="AQ43" s="778"/>
      <c r="AR43" s="779"/>
    </row>
    <row r="44" spans="1:45" s="8" customFormat="1" x14ac:dyDescent="0.2">
      <c r="A44" s="231" t="s">
        <v>55</v>
      </c>
      <c r="B44" s="7">
        <f>SUM(B11:B24)</f>
        <v>16.616764267373156</v>
      </c>
      <c r="C44" s="7">
        <f t="shared" ref="C44:AO44" si="14">SUM(C11:C24)</f>
        <v>2593.5144217621614</v>
      </c>
      <c r="D44" s="7">
        <f t="shared" si="14"/>
        <v>551.15483057471101</v>
      </c>
      <c r="E44" s="7">
        <f t="shared" si="14"/>
        <v>1552.4107010953953</v>
      </c>
      <c r="F44" s="7">
        <f t="shared" si="14"/>
        <v>1468.7676333875984</v>
      </c>
      <c r="G44" s="7">
        <f t="shared" si="14"/>
        <v>4555.4458189027428</v>
      </c>
      <c r="H44" s="7">
        <f>SUM(H11:H24)</f>
        <v>547.05488947533127</v>
      </c>
      <c r="I44" s="7">
        <f t="shared" si="14"/>
        <v>5664.4955701210483</v>
      </c>
      <c r="J44" s="7">
        <f t="shared" si="14"/>
        <v>632.40272916509127</v>
      </c>
      <c r="K44" s="7">
        <f t="shared" si="14"/>
        <v>9694.8274201779477</v>
      </c>
      <c r="L44" s="7">
        <f t="shared" si="14"/>
        <v>680.46379170294529</v>
      </c>
      <c r="M44" s="7">
        <f t="shared" si="14"/>
        <v>129.64694667229151</v>
      </c>
      <c r="N44" s="7">
        <f t="shared" si="14"/>
        <v>4928.8874481921084</v>
      </c>
      <c r="O44" s="7">
        <f t="shared" si="14"/>
        <v>4477.5354730837253</v>
      </c>
      <c r="P44" s="7">
        <f t="shared" si="14"/>
        <v>1171.6995177337981</v>
      </c>
      <c r="Q44" s="7">
        <f t="shared" si="14"/>
        <v>152.26600756231937</v>
      </c>
      <c r="R44" s="7">
        <f t="shared" si="14"/>
        <v>526.68548730636212</v>
      </c>
      <c r="S44" s="7">
        <f t="shared" si="14"/>
        <v>2970.3868984671185</v>
      </c>
      <c r="T44" s="7">
        <f t="shared" si="14"/>
        <v>2185.3926503499301</v>
      </c>
      <c r="U44" s="7">
        <f t="shared" si="14"/>
        <v>0</v>
      </c>
      <c r="V44" s="7">
        <f t="shared" si="14"/>
        <v>0</v>
      </c>
      <c r="W44" s="7">
        <f t="shared" ref="W44:AN44" si="15">SUM(W11:W24)</f>
        <v>0</v>
      </c>
      <c r="X44" s="7">
        <f t="shared" si="15"/>
        <v>0</v>
      </c>
      <c r="Y44" s="7">
        <f t="shared" si="15"/>
        <v>0</v>
      </c>
      <c r="Z44" s="7">
        <f t="shared" si="15"/>
        <v>0</v>
      </c>
      <c r="AA44" s="7">
        <f t="shared" si="15"/>
        <v>0</v>
      </c>
      <c r="AB44" s="7">
        <f t="shared" si="15"/>
        <v>0</v>
      </c>
      <c r="AC44" s="7">
        <f t="shared" si="15"/>
        <v>0</v>
      </c>
      <c r="AD44" s="7">
        <f t="shared" si="15"/>
        <v>0</v>
      </c>
      <c r="AE44" s="7">
        <f t="shared" si="15"/>
        <v>0</v>
      </c>
      <c r="AF44" s="7">
        <f t="shared" si="15"/>
        <v>0</v>
      </c>
      <c r="AG44" s="7">
        <f>SUM(AG11:AG24)</f>
        <v>0</v>
      </c>
      <c r="AH44" s="7">
        <f>SUM(AH11:AH24)</f>
        <v>0</v>
      </c>
      <c r="AI44" s="7">
        <f>SUM(AI11:AI24)</f>
        <v>0</v>
      </c>
      <c r="AJ44" s="7">
        <f>SUM(AJ11:AJ24)</f>
        <v>0</v>
      </c>
      <c r="AK44" s="7">
        <f>SUM(AK11:AK24)</f>
        <v>44499.654999999992</v>
      </c>
      <c r="AL44" s="7">
        <f t="shared" si="15"/>
        <v>44499.655000000006</v>
      </c>
      <c r="AM44" s="7">
        <f t="shared" si="15"/>
        <v>44499.654999999999</v>
      </c>
      <c r="AN44" s="7">
        <f t="shared" si="15"/>
        <v>44499.655000000006</v>
      </c>
      <c r="AO44" s="7">
        <f t="shared" si="14"/>
        <v>44499.654999999999</v>
      </c>
      <c r="AP44" s="17">
        <f>(AO44-AL44)/AO44</f>
        <v>-1.6350593311753598E-16</v>
      </c>
      <c r="AQ44" s="17">
        <f>(AO44-AN44)/AO44</f>
        <v>-1.6350593311753598E-16</v>
      </c>
      <c r="AR44" s="235"/>
    </row>
    <row r="45" spans="1:45" s="8" customFormat="1" x14ac:dyDescent="0.2">
      <c r="A45" s="221" t="s">
        <v>56</v>
      </c>
      <c r="B45" s="18">
        <f t="shared" ref="B45:AF45" si="16">B44/$AK$44</f>
        <v>3.734133279768834E-4</v>
      </c>
      <c r="C45" s="18">
        <f t="shared" si="16"/>
        <v>5.8281674807639787E-2</v>
      </c>
      <c r="D45" s="18">
        <f t="shared" si="16"/>
        <v>1.2385597833841883E-2</v>
      </c>
      <c r="E45" s="18">
        <f t="shared" si="16"/>
        <v>3.4885904196232435E-2</v>
      </c>
      <c r="F45" s="18">
        <f t="shared" si="16"/>
        <v>3.3006270124736892E-2</v>
      </c>
      <c r="G45" s="18">
        <f t="shared" si="16"/>
        <v>0.10237036262197412</v>
      </c>
      <c r="H45" s="18">
        <f t="shared" si="16"/>
        <v>1.2293463611691627E-2</v>
      </c>
      <c r="I45" s="18">
        <f t="shared" si="16"/>
        <v>0.1272930221621055</v>
      </c>
      <c r="J45" s="18">
        <f t="shared" si="16"/>
        <v>1.4211407462936317E-2</v>
      </c>
      <c r="K45" s="18">
        <f t="shared" si="16"/>
        <v>0.21786297939114246</v>
      </c>
      <c r="L45" s="18">
        <f t="shared" si="16"/>
        <v>1.5291439713475203E-2</v>
      </c>
      <c r="M45" s="18">
        <f t="shared" si="16"/>
        <v>2.9134371192830939E-3</v>
      </c>
      <c r="N45" s="18">
        <f t="shared" si="16"/>
        <v>0.11076237440924226</v>
      </c>
      <c r="O45" s="18">
        <f t="shared" si="16"/>
        <v>0.10061955476022738</v>
      </c>
      <c r="P45" s="18">
        <f t="shared" si="16"/>
        <v>2.6330530376781534E-2</v>
      </c>
      <c r="Q45" s="18">
        <f t="shared" si="16"/>
        <v>3.4217345631627795E-3</v>
      </c>
      <c r="R45" s="18">
        <f t="shared" si="16"/>
        <v>1.1835720688314599E-2</v>
      </c>
      <c r="S45" s="18">
        <f t="shared" si="16"/>
        <v>6.6750784887368658E-2</v>
      </c>
      <c r="T45" s="18">
        <f t="shared" si="16"/>
        <v>4.9110327941866753E-2</v>
      </c>
      <c r="U45" s="18">
        <f t="shared" si="16"/>
        <v>0</v>
      </c>
      <c r="V45" s="18">
        <f t="shared" si="16"/>
        <v>0</v>
      </c>
      <c r="W45" s="18">
        <f t="shared" si="16"/>
        <v>0</v>
      </c>
      <c r="X45" s="18">
        <f t="shared" si="16"/>
        <v>0</v>
      </c>
      <c r="Y45" s="18">
        <f t="shared" si="16"/>
        <v>0</v>
      </c>
      <c r="Z45" s="18">
        <f t="shared" si="16"/>
        <v>0</v>
      </c>
      <c r="AA45" s="18">
        <f t="shared" si="16"/>
        <v>0</v>
      </c>
      <c r="AB45" s="18">
        <f t="shared" si="16"/>
        <v>0</v>
      </c>
      <c r="AC45" s="18">
        <f>AC44/$AK$44</f>
        <v>0</v>
      </c>
      <c r="AD45" s="18">
        <f>AD44/$AK$44</f>
        <v>0</v>
      </c>
      <c r="AE45" s="18">
        <f>AE44/$AK$44</f>
        <v>0</v>
      </c>
      <c r="AF45" s="18">
        <f t="shared" si="16"/>
        <v>0</v>
      </c>
      <c r="AG45" s="18">
        <f>AG44/$AK$44</f>
        <v>0</v>
      </c>
      <c r="AH45" s="18">
        <f>AH44/$AK$44</f>
        <v>0</v>
      </c>
      <c r="AI45" s="18">
        <f>AI44/$AK$44</f>
        <v>0</v>
      </c>
      <c r="AJ45" s="18">
        <f>AJ44/$AK$44</f>
        <v>0</v>
      </c>
      <c r="AK45" s="350">
        <f>SUM(B45:AJ45)</f>
        <v>1.0000000000000002</v>
      </c>
      <c r="AL45" s="232"/>
      <c r="AM45" s="232"/>
      <c r="AN45" s="232"/>
      <c r="AO45" s="232"/>
      <c r="AP45" s="232"/>
      <c r="AQ45" s="232"/>
      <c r="AR45" s="235"/>
    </row>
    <row r="46" spans="1:45" s="8" customFormat="1" ht="13.5" thickBot="1" x14ac:dyDescent="0.25">
      <c r="A46" s="218" t="s">
        <v>124</v>
      </c>
      <c r="B46" s="239">
        <f t="shared" ref="B46:AF46" si="17">B45*$AM$44</f>
        <v>16.61676426737316</v>
      </c>
      <c r="C46" s="239">
        <f t="shared" si="17"/>
        <v>2593.5144217621619</v>
      </c>
      <c r="D46" s="239">
        <f t="shared" si="17"/>
        <v>551.15483057471113</v>
      </c>
      <c r="E46" s="239">
        <f t="shared" si="17"/>
        <v>1552.4107010953956</v>
      </c>
      <c r="F46" s="239">
        <f t="shared" si="17"/>
        <v>1468.7676333875986</v>
      </c>
      <c r="G46" s="239">
        <f t="shared" si="17"/>
        <v>4555.4458189027437</v>
      </c>
      <c r="H46" s="239">
        <f t="shared" si="17"/>
        <v>547.05488947533138</v>
      </c>
      <c r="I46" s="239">
        <f t="shared" si="17"/>
        <v>5664.4955701210483</v>
      </c>
      <c r="J46" s="239">
        <f t="shared" si="17"/>
        <v>632.40272916509139</v>
      </c>
      <c r="K46" s="239">
        <f t="shared" si="17"/>
        <v>9694.8274201779495</v>
      </c>
      <c r="L46" s="239">
        <f t="shared" si="17"/>
        <v>680.4637917029454</v>
      </c>
      <c r="M46" s="239">
        <f t="shared" si="17"/>
        <v>129.64694667229153</v>
      </c>
      <c r="N46" s="239">
        <f t="shared" si="17"/>
        <v>4928.8874481921093</v>
      </c>
      <c r="O46" s="239">
        <f t="shared" si="17"/>
        <v>4477.5354730837262</v>
      </c>
      <c r="P46" s="239">
        <f t="shared" si="17"/>
        <v>1171.6995177337983</v>
      </c>
      <c r="Q46" s="239">
        <f t="shared" si="17"/>
        <v>152.2660075623194</v>
      </c>
      <c r="R46" s="239">
        <f t="shared" si="17"/>
        <v>526.68548730636212</v>
      </c>
      <c r="S46" s="239">
        <f t="shared" si="17"/>
        <v>2970.386898467119</v>
      </c>
      <c r="T46" s="239">
        <f t="shared" si="17"/>
        <v>2185.3926503499306</v>
      </c>
      <c r="U46" s="239">
        <f t="shared" si="17"/>
        <v>0</v>
      </c>
      <c r="V46" s="239">
        <f t="shared" si="17"/>
        <v>0</v>
      </c>
      <c r="W46" s="239">
        <f t="shared" si="17"/>
        <v>0</v>
      </c>
      <c r="X46" s="239">
        <f t="shared" si="17"/>
        <v>0</v>
      </c>
      <c r="Y46" s="239">
        <f t="shared" si="17"/>
        <v>0</v>
      </c>
      <c r="Z46" s="239">
        <f t="shared" si="17"/>
        <v>0</v>
      </c>
      <c r="AA46" s="239">
        <f t="shared" si="17"/>
        <v>0</v>
      </c>
      <c r="AB46" s="239">
        <f t="shared" si="17"/>
        <v>0</v>
      </c>
      <c r="AC46" s="239">
        <f>AC45*$AM$44</f>
        <v>0</v>
      </c>
      <c r="AD46" s="239">
        <f>AD45*$AM$44</f>
        <v>0</v>
      </c>
      <c r="AE46" s="239">
        <f>AE45*$AM$44</f>
        <v>0</v>
      </c>
      <c r="AF46" s="239">
        <f t="shared" si="17"/>
        <v>0</v>
      </c>
      <c r="AG46" s="239">
        <f>AG45*$AM$44</f>
        <v>0</v>
      </c>
      <c r="AH46" s="239">
        <f>AH45*$AM$44</f>
        <v>0</v>
      </c>
      <c r="AI46" s="239">
        <f>AI45*$AM$44</f>
        <v>0</v>
      </c>
      <c r="AJ46" s="239">
        <f>AJ45*$AM$44</f>
        <v>0</v>
      </c>
      <c r="AK46" s="351">
        <f>SUM(B46:AJ46)</f>
        <v>44499.655000000013</v>
      </c>
      <c r="AL46" s="240"/>
      <c r="AM46" s="240"/>
      <c r="AN46" s="240"/>
      <c r="AO46" s="240"/>
      <c r="AP46" s="240"/>
      <c r="AQ46" s="240"/>
      <c r="AR46" s="241"/>
    </row>
    <row r="47" spans="1:45" s="6" customFormat="1" ht="13.5" thickBot="1" x14ac:dyDescent="0.25">
      <c r="A47" s="798" t="s">
        <v>70</v>
      </c>
      <c r="B47" s="799"/>
      <c r="C47" s="799"/>
      <c r="D47" s="799"/>
      <c r="E47" s="799"/>
      <c r="F47" s="799"/>
      <c r="G47" s="799"/>
      <c r="H47" s="799"/>
      <c r="I47" s="799"/>
      <c r="J47" s="799"/>
      <c r="K47" s="799"/>
      <c r="L47" s="799"/>
      <c r="M47" s="799"/>
      <c r="N47" s="799"/>
      <c r="O47" s="799"/>
      <c r="P47" s="799"/>
      <c r="Q47" s="799"/>
      <c r="R47" s="799"/>
      <c r="S47" s="799"/>
      <c r="T47" s="799"/>
      <c r="U47" s="799"/>
      <c r="V47" s="799"/>
      <c r="W47" s="799"/>
      <c r="X47" s="799"/>
      <c r="Y47" s="799"/>
      <c r="Z47" s="799"/>
      <c r="AA47" s="799"/>
      <c r="AB47" s="799"/>
      <c r="AC47" s="799"/>
      <c r="AD47" s="799"/>
      <c r="AE47" s="799"/>
      <c r="AF47" s="799"/>
      <c r="AG47" s="799"/>
      <c r="AH47" s="799"/>
      <c r="AI47" s="799"/>
      <c r="AJ47" s="799"/>
      <c r="AK47" s="799"/>
      <c r="AL47" s="799"/>
      <c r="AM47" s="799"/>
      <c r="AN47" s="799"/>
      <c r="AO47" s="799"/>
      <c r="AP47" s="799"/>
      <c r="AQ47" s="799"/>
      <c r="AR47" s="800"/>
    </row>
    <row r="48" spans="1:45" s="8" customFormat="1" x14ac:dyDescent="0.2">
      <c r="A48" s="426" t="s">
        <v>55</v>
      </c>
      <c r="B48" s="427">
        <f>SUM(B25:B41)</f>
        <v>4.6174681038080321</v>
      </c>
      <c r="C48" s="427">
        <f t="shared" ref="C48:AO48" si="18">SUM(C25:C41)</f>
        <v>1582.5564861274006</v>
      </c>
      <c r="D48" s="427">
        <f t="shared" si="18"/>
        <v>438.81932987436664</v>
      </c>
      <c r="E48" s="427">
        <f t="shared" si="18"/>
        <v>1176.8495071982672</v>
      </c>
      <c r="F48" s="427">
        <f t="shared" si="18"/>
        <v>721.53266275684632</v>
      </c>
      <c r="G48" s="427">
        <f t="shared" si="18"/>
        <v>4237.5794621998821</v>
      </c>
      <c r="H48" s="427">
        <f>SUM(H25:H41)</f>
        <v>592.72473702074342</v>
      </c>
      <c r="I48" s="427">
        <f t="shared" si="18"/>
        <v>4952.6738624967202</v>
      </c>
      <c r="J48" s="427">
        <f t="shared" si="18"/>
        <v>286.94985554743187</v>
      </c>
      <c r="K48" s="427">
        <f t="shared" si="18"/>
        <v>8984.8721343993584</v>
      </c>
      <c r="L48" s="427">
        <f t="shared" si="18"/>
        <v>704.36078046147952</v>
      </c>
      <c r="M48" s="427">
        <f t="shared" si="18"/>
        <v>142.18537321834518</v>
      </c>
      <c r="N48" s="427">
        <f t="shared" si="18"/>
        <v>6344.9033429140181</v>
      </c>
      <c r="O48" s="427">
        <f t="shared" si="18"/>
        <v>3556.3406108385593</v>
      </c>
      <c r="P48" s="427">
        <f t="shared" si="18"/>
        <v>1210.0888633668999</v>
      </c>
      <c r="Q48" s="427">
        <f t="shared" si="18"/>
        <v>109.25020388846197</v>
      </c>
      <c r="R48" s="427">
        <f t="shared" si="18"/>
        <v>463.71958394177182</v>
      </c>
      <c r="S48" s="427">
        <f t="shared" si="18"/>
        <v>3495.0488129652608</v>
      </c>
      <c r="T48" s="427">
        <f t="shared" si="18"/>
        <v>1498.9540169896577</v>
      </c>
      <c r="U48" s="427">
        <f t="shared" si="18"/>
        <v>0</v>
      </c>
      <c r="V48" s="427">
        <f t="shared" ref="V48:AN48" si="19">SUM(V25:V41)</f>
        <v>0</v>
      </c>
      <c r="W48" s="427">
        <f>SUM(W25:W41)</f>
        <v>0</v>
      </c>
      <c r="X48" s="427">
        <f t="shared" si="19"/>
        <v>0</v>
      </c>
      <c r="Y48" s="427">
        <f t="shared" si="19"/>
        <v>0</v>
      </c>
      <c r="Z48" s="427">
        <f>SUM(Z25:Z41)</f>
        <v>0</v>
      </c>
      <c r="AA48" s="427">
        <f t="shared" si="19"/>
        <v>0</v>
      </c>
      <c r="AB48" s="427">
        <f t="shared" si="19"/>
        <v>0</v>
      </c>
      <c r="AC48" s="427">
        <f>SUM(AC25:AC41)</f>
        <v>0</v>
      </c>
      <c r="AD48" s="427">
        <f>SUM(AD25:AD41)</f>
        <v>0</v>
      </c>
      <c r="AE48" s="427">
        <f>SUM(AE25:AE41)</f>
        <v>0</v>
      </c>
      <c r="AF48" s="427">
        <f t="shared" si="19"/>
        <v>0</v>
      </c>
      <c r="AG48" s="427">
        <f>SUM(AG25:AG41)</f>
        <v>0</v>
      </c>
      <c r="AH48" s="427">
        <f>SUM(AH25:AH41)</f>
        <v>0</v>
      </c>
      <c r="AI48" s="427">
        <f>SUM(AI25:AI41)</f>
        <v>0</v>
      </c>
      <c r="AJ48" s="427">
        <f>SUM(AJ25:AJ41)</f>
        <v>0</v>
      </c>
      <c r="AK48" s="427">
        <f t="shared" si="19"/>
        <v>40504.027094309276</v>
      </c>
      <c r="AL48" s="427">
        <f t="shared" si="19"/>
        <v>40504.027094309262</v>
      </c>
      <c r="AM48" s="427">
        <f t="shared" si="19"/>
        <v>40504.027094309276</v>
      </c>
      <c r="AN48" s="427">
        <f t="shared" si="19"/>
        <v>40504.027094309262</v>
      </c>
      <c r="AO48" s="427">
        <f t="shared" si="18"/>
        <v>0</v>
      </c>
      <c r="AP48" s="428" t="e">
        <f>(AO48-AL48)/AO48</f>
        <v>#DIV/0!</v>
      </c>
      <c r="AQ48" s="428" t="e">
        <f>(AO48-AN48)/AO48</f>
        <v>#DIV/0!</v>
      </c>
      <c r="AR48" s="429"/>
    </row>
    <row r="49" spans="1:44" s="8" customFormat="1" x14ac:dyDescent="0.2">
      <c r="A49" s="221" t="s">
        <v>56</v>
      </c>
      <c r="B49" s="18">
        <f t="shared" ref="B49:AF49" si="20">B48/$AK$48</f>
        <v>1.1400022257186313E-4</v>
      </c>
      <c r="C49" s="18">
        <f t="shared" si="20"/>
        <v>3.9071583732713487E-2</v>
      </c>
      <c r="D49" s="18">
        <f t="shared" si="20"/>
        <v>1.0833967912687372E-2</v>
      </c>
      <c r="E49" s="18">
        <f t="shared" si="20"/>
        <v>2.9055123443851635E-2</v>
      </c>
      <c r="F49" s="18">
        <f t="shared" si="20"/>
        <v>1.7813849992664558E-2</v>
      </c>
      <c r="G49" s="18">
        <f t="shared" si="20"/>
        <v>0.10462118871126402</v>
      </c>
      <c r="H49" s="18">
        <f t="shared" si="20"/>
        <v>1.4633723595943868E-2</v>
      </c>
      <c r="I49" s="18">
        <f t="shared" si="20"/>
        <v>0.12227608506593557</v>
      </c>
      <c r="J49" s="18">
        <f t="shared" si="20"/>
        <v>7.0844771775236065E-3</v>
      </c>
      <c r="K49" s="18">
        <f t="shared" si="20"/>
        <v>0.22182663747185061</v>
      </c>
      <c r="L49" s="18">
        <f t="shared" si="20"/>
        <v>1.7389895054668297E-2</v>
      </c>
      <c r="M49" s="18">
        <f t="shared" si="20"/>
        <v>3.5104009013049941E-3</v>
      </c>
      <c r="N49" s="18">
        <f t="shared" si="20"/>
        <v>0.15664870379778761</v>
      </c>
      <c r="O49" s="18">
        <f t="shared" si="20"/>
        <v>8.7802148723582524E-2</v>
      </c>
      <c r="P49" s="18">
        <f t="shared" si="20"/>
        <v>2.9875766687330569E-2</v>
      </c>
      <c r="Q49" s="18">
        <f t="shared" si="20"/>
        <v>2.6972676972115538E-3</v>
      </c>
      <c r="R49" s="18">
        <f t="shared" si="20"/>
        <v>1.1448727872466868E-2</v>
      </c>
      <c r="S49" s="18">
        <f t="shared" si="20"/>
        <v>8.628892146520184E-2</v>
      </c>
      <c r="T49" s="18">
        <f t="shared" si="20"/>
        <v>3.7007530473439201E-2</v>
      </c>
      <c r="U49" s="18">
        <f t="shared" si="20"/>
        <v>0</v>
      </c>
      <c r="V49" s="18">
        <f t="shared" si="20"/>
        <v>0</v>
      </c>
      <c r="W49" s="18">
        <f t="shared" si="20"/>
        <v>0</v>
      </c>
      <c r="X49" s="18">
        <f t="shared" si="20"/>
        <v>0</v>
      </c>
      <c r="Y49" s="18">
        <f t="shared" si="20"/>
        <v>0</v>
      </c>
      <c r="Z49" s="18">
        <f t="shared" si="20"/>
        <v>0</v>
      </c>
      <c r="AA49" s="18">
        <f t="shared" si="20"/>
        <v>0</v>
      </c>
      <c r="AB49" s="18">
        <f t="shared" si="20"/>
        <v>0</v>
      </c>
      <c r="AC49" s="18">
        <f>AC48/$AK$48</f>
        <v>0</v>
      </c>
      <c r="AD49" s="18">
        <f>AD48/$AK$48</f>
        <v>0</v>
      </c>
      <c r="AE49" s="18">
        <f>AE48/$AK$48</f>
        <v>0</v>
      </c>
      <c r="AF49" s="18">
        <f t="shared" si="20"/>
        <v>0</v>
      </c>
      <c r="AG49" s="18">
        <f>AG48/$AK$48</f>
        <v>0</v>
      </c>
      <c r="AH49" s="18">
        <f>AH48/$AK$48</f>
        <v>0</v>
      </c>
      <c r="AI49" s="18">
        <f>AI48/$AK$48</f>
        <v>0</v>
      </c>
      <c r="AJ49" s="18">
        <f>AJ48/$AK$48</f>
        <v>0</v>
      </c>
      <c r="AK49" s="350">
        <f>SUM(B49:AJ49)</f>
        <v>1</v>
      </c>
      <c r="AL49" s="232"/>
      <c r="AM49" s="232"/>
      <c r="AN49" s="232"/>
      <c r="AO49" s="232"/>
      <c r="AP49" s="232"/>
      <c r="AQ49" s="232"/>
      <c r="AR49" s="235"/>
    </row>
    <row r="50" spans="1:44" s="8" customFormat="1" ht="13.5" thickBot="1" x14ac:dyDescent="0.25">
      <c r="A50" s="215" t="s">
        <v>124</v>
      </c>
      <c r="B50" s="236">
        <f t="shared" ref="B50:AF50" si="21">B49*$AM$48</f>
        <v>4.6174681038080321</v>
      </c>
      <c r="C50" s="236">
        <f t="shared" si="21"/>
        <v>1582.5564861274006</v>
      </c>
      <c r="D50" s="236">
        <f t="shared" si="21"/>
        <v>438.81932987436664</v>
      </c>
      <c r="E50" s="236">
        <f t="shared" si="21"/>
        <v>1176.8495071982672</v>
      </c>
      <c r="F50" s="236">
        <f t="shared" si="21"/>
        <v>721.53266275684632</v>
      </c>
      <c r="G50" s="236">
        <f t="shared" si="21"/>
        <v>4237.5794621998821</v>
      </c>
      <c r="H50" s="236">
        <f t="shared" si="21"/>
        <v>592.72473702074342</v>
      </c>
      <c r="I50" s="236">
        <f t="shared" si="21"/>
        <v>4952.6738624967202</v>
      </c>
      <c r="J50" s="236">
        <f t="shared" si="21"/>
        <v>286.94985554743187</v>
      </c>
      <c r="K50" s="236">
        <f t="shared" si="21"/>
        <v>8984.8721343993584</v>
      </c>
      <c r="L50" s="236">
        <f t="shared" si="21"/>
        <v>704.36078046147964</v>
      </c>
      <c r="M50" s="236">
        <f t="shared" si="21"/>
        <v>142.18537321834518</v>
      </c>
      <c r="N50" s="236">
        <f t="shared" si="21"/>
        <v>6344.9033429140181</v>
      </c>
      <c r="O50" s="236">
        <f t="shared" si="21"/>
        <v>3556.3406108385593</v>
      </c>
      <c r="P50" s="236">
        <f t="shared" si="21"/>
        <v>1210.0888633668999</v>
      </c>
      <c r="Q50" s="236">
        <f t="shared" si="21"/>
        <v>109.25020388846197</v>
      </c>
      <c r="R50" s="236">
        <f t="shared" si="21"/>
        <v>463.71958394177182</v>
      </c>
      <c r="S50" s="236">
        <f t="shared" si="21"/>
        <v>3495.0488129652608</v>
      </c>
      <c r="T50" s="236">
        <f t="shared" si="21"/>
        <v>1498.9540169896577</v>
      </c>
      <c r="U50" s="236">
        <f t="shared" si="21"/>
        <v>0</v>
      </c>
      <c r="V50" s="236">
        <f t="shared" si="21"/>
        <v>0</v>
      </c>
      <c r="W50" s="236">
        <f t="shared" si="21"/>
        <v>0</v>
      </c>
      <c r="X50" s="236">
        <f t="shared" si="21"/>
        <v>0</v>
      </c>
      <c r="Y50" s="236">
        <f t="shared" si="21"/>
        <v>0</v>
      </c>
      <c r="Z50" s="236">
        <f t="shared" si="21"/>
        <v>0</v>
      </c>
      <c r="AA50" s="236">
        <f t="shared" si="21"/>
        <v>0</v>
      </c>
      <c r="AB50" s="236">
        <f t="shared" si="21"/>
        <v>0</v>
      </c>
      <c r="AC50" s="236">
        <f>AC49*$AM$48</f>
        <v>0</v>
      </c>
      <c r="AD50" s="236">
        <f>AD49*$AM$48</f>
        <v>0</v>
      </c>
      <c r="AE50" s="236">
        <f>AE49*$AM$48</f>
        <v>0</v>
      </c>
      <c r="AF50" s="236">
        <f t="shared" si="21"/>
        <v>0</v>
      </c>
      <c r="AG50" s="236">
        <f>AG49*$AM$48</f>
        <v>0</v>
      </c>
      <c r="AH50" s="236">
        <f>AH49*$AM$48</f>
        <v>0</v>
      </c>
      <c r="AI50" s="236">
        <f>AI49*$AM$48</f>
        <v>0</v>
      </c>
      <c r="AJ50" s="236">
        <f>AJ49*$AM$48</f>
        <v>0</v>
      </c>
      <c r="AK50" s="352">
        <f>SUM(B50:AJ50)</f>
        <v>40504.027094309276</v>
      </c>
      <c r="AL50" s="237"/>
      <c r="AM50" s="237"/>
      <c r="AN50" s="237"/>
      <c r="AO50" s="237"/>
      <c r="AP50" s="237"/>
      <c r="AQ50" s="237"/>
      <c r="AR50" s="238"/>
    </row>
  </sheetData>
  <mergeCells count="13">
    <mergeCell ref="A1:AR1"/>
    <mergeCell ref="A2:AR2"/>
    <mergeCell ref="A3:AR3"/>
    <mergeCell ref="A4:AR4"/>
    <mergeCell ref="A43:AR43"/>
    <mergeCell ref="A47:AR47"/>
    <mergeCell ref="A6:AR6"/>
    <mergeCell ref="A7:AR7"/>
    <mergeCell ref="AK9:AL9"/>
    <mergeCell ref="AM9:AN9"/>
    <mergeCell ref="AP9:AQ9"/>
    <mergeCell ref="AR9:AR10"/>
    <mergeCell ref="B10:AO10"/>
  </mergeCells>
  <phoneticPr fontId="2" type="noConversion"/>
  <printOptions horizontalCentered="1" verticalCentered="1"/>
  <pageMargins left="0.39370078740157483" right="0.39370078740157483" top="0.39370078740157483" bottom="0.39370078740157483" header="0" footer="0"/>
  <pageSetup scale="7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42" r:id="rId4">
          <objectPr defaultSize="0" autoPict="0" r:id="rId5">
            <anchor moveWithCells="1">
              <from>
                <xdr:col>0</xdr:col>
                <xdr:colOff>485775</xdr:colOff>
                <xdr:row>0</xdr:row>
                <xdr:rowOff>104775</xdr:rowOff>
              </from>
              <to>
                <xdr:col>1</xdr:col>
                <xdr:colOff>523875</xdr:colOff>
                <xdr:row>5</xdr:row>
                <xdr:rowOff>85725</xdr:rowOff>
              </to>
            </anchor>
          </objectPr>
        </oleObject>
      </mc:Choice>
      <mc:Fallback>
        <oleObject progId="Word.Document.8" shapeId="10242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2"/>
  <dimension ref="A1:AK45"/>
  <sheetViews>
    <sheetView workbookViewId="0">
      <selection activeCell="U5" sqref="U1:AJ1048576"/>
    </sheetView>
  </sheetViews>
  <sheetFormatPr baseColWidth="10" defaultRowHeight="12.75" x14ac:dyDescent="0.2"/>
  <cols>
    <col min="1" max="1" width="11.42578125" style="114"/>
    <col min="2" max="2" width="12.28515625" style="114" bestFit="1" customWidth="1"/>
    <col min="3" max="4" width="11.42578125" style="114"/>
    <col min="5" max="7" width="11.42578125" style="114" customWidth="1"/>
    <col min="8" max="8" width="16.42578125" style="114" customWidth="1"/>
    <col min="9" max="9" width="23.28515625" style="114" customWidth="1"/>
    <col min="10" max="13" width="11.42578125" style="114" customWidth="1"/>
    <col min="14" max="14" width="14" style="114" customWidth="1"/>
    <col min="15" max="15" width="13" style="114" customWidth="1"/>
    <col min="16" max="18" width="11.42578125" style="114" customWidth="1"/>
    <col min="19" max="19" width="13.5703125" style="114" customWidth="1"/>
    <col min="20" max="20" width="11.42578125" style="114" customWidth="1"/>
    <col min="21" max="36" width="11.42578125" style="114" hidden="1" customWidth="1"/>
    <col min="37" max="16384" width="11.42578125" style="114"/>
  </cols>
  <sheetData>
    <row r="1" spans="1:37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776"/>
      <c r="AC1" s="776"/>
      <c r="AD1" s="776"/>
      <c r="AE1" s="776"/>
      <c r="AF1" s="776"/>
      <c r="AG1" s="776"/>
      <c r="AH1" s="776"/>
      <c r="AI1" s="776"/>
      <c r="AJ1" s="776"/>
      <c r="AK1" s="776"/>
    </row>
    <row r="2" spans="1:37" x14ac:dyDescent="0.2">
      <c r="A2" s="775" t="s">
        <v>8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5"/>
      <c r="AH2" s="775"/>
      <c r="AI2" s="775"/>
      <c r="AJ2" s="775"/>
      <c r="AK2" s="775"/>
    </row>
    <row r="3" spans="1:37" x14ac:dyDescent="0.2">
      <c r="A3" s="775" t="s">
        <v>9</v>
      </c>
      <c r="B3" s="775"/>
      <c r="C3" s="775"/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  <c r="T3" s="775"/>
      <c r="U3" s="775"/>
      <c r="V3" s="775"/>
      <c r="W3" s="775"/>
      <c r="X3" s="775"/>
      <c r="Y3" s="775"/>
      <c r="Z3" s="775"/>
      <c r="AA3" s="775"/>
      <c r="AB3" s="775"/>
      <c r="AC3" s="775"/>
      <c r="AD3" s="775"/>
      <c r="AE3" s="775"/>
      <c r="AF3" s="775"/>
      <c r="AG3" s="775"/>
      <c r="AH3" s="775"/>
      <c r="AI3" s="775"/>
      <c r="AJ3" s="775"/>
      <c r="AK3" s="775"/>
    </row>
    <row r="4" spans="1:37" x14ac:dyDescent="0.2">
      <c r="A4" s="775"/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5"/>
      <c r="AE4" s="775"/>
      <c r="AF4" s="775"/>
      <c r="AG4" s="775"/>
      <c r="AH4" s="775"/>
      <c r="AI4" s="775"/>
      <c r="AJ4" s="775"/>
      <c r="AK4" s="775"/>
    </row>
    <row r="5" spans="1:37" x14ac:dyDescent="0.2">
      <c r="A5" s="166"/>
      <c r="B5" s="166"/>
      <c r="C5" s="166"/>
      <c r="D5" s="166"/>
      <c r="E5" s="166"/>
      <c r="F5" s="166"/>
      <c r="G5" s="166"/>
      <c r="H5" s="166"/>
      <c r="I5" s="167"/>
      <c r="J5" s="168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</row>
    <row r="6" spans="1:37" x14ac:dyDescent="0.2">
      <c r="A6" s="794" t="s">
        <v>125</v>
      </c>
      <c r="B6" s="794"/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  <c r="T6" s="794"/>
      <c r="U6" s="794"/>
      <c r="V6" s="794"/>
      <c r="W6" s="794"/>
      <c r="X6" s="794"/>
      <c r="Y6" s="794"/>
      <c r="Z6" s="794"/>
      <c r="AA6" s="794"/>
      <c r="AB6" s="794"/>
      <c r="AC6" s="794"/>
      <c r="AD6" s="794"/>
      <c r="AE6" s="794"/>
      <c r="AF6" s="794"/>
      <c r="AG6" s="794"/>
      <c r="AH6" s="794"/>
      <c r="AI6" s="794"/>
      <c r="AJ6" s="794"/>
      <c r="AK6" s="794"/>
    </row>
    <row r="7" spans="1:37" x14ac:dyDescent="0.2">
      <c r="A7" s="795" t="s">
        <v>239</v>
      </c>
      <c r="B7" s="795"/>
      <c r="C7" s="795"/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/>
      <c r="P7" s="795"/>
      <c r="Q7" s="795"/>
      <c r="R7" s="795"/>
      <c r="S7" s="795"/>
      <c r="T7" s="795"/>
      <c r="U7" s="795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95"/>
      <c r="AH7" s="795"/>
      <c r="AI7" s="795"/>
      <c r="AJ7" s="795"/>
      <c r="AK7" s="795"/>
    </row>
    <row r="8" spans="1:37" x14ac:dyDescent="0.2">
      <c r="A8" s="170"/>
      <c r="B8" s="170"/>
      <c r="C8" s="170"/>
      <c r="D8" s="170"/>
      <c r="E8" s="170"/>
      <c r="F8" s="171"/>
      <c r="G8" s="170"/>
      <c r="H8" s="171"/>
      <c r="I8" s="170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</row>
    <row r="9" spans="1:37" x14ac:dyDescent="0.2">
      <c r="A9" s="172" t="s">
        <v>44</v>
      </c>
      <c r="B9" s="691" t="s">
        <v>245</v>
      </c>
      <c r="C9" s="691" t="s">
        <v>246</v>
      </c>
      <c r="D9" s="691" t="s">
        <v>247</v>
      </c>
      <c r="E9" s="691" t="s">
        <v>248</v>
      </c>
      <c r="F9" s="691" t="s">
        <v>249</v>
      </c>
      <c r="G9" s="691" t="s">
        <v>250</v>
      </c>
      <c r="H9" s="691" t="s">
        <v>251</v>
      </c>
      <c r="I9" s="691" t="s">
        <v>252</v>
      </c>
      <c r="J9" s="691" t="s">
        <v>253</v>
      </c>
      <c r="K9" s="691" t="s">
        <v>254</v>
      </c>
      <c r="L9" s="691" t="s">
        <v>255</v>
      </c>
      <c r="M9" s="691" t="s">
        <v>256</v>
      </c>
      <c r="N9" s="691" t="s">
        <v>257</v>
      </c>
      <c r="O9" s="691" t="s">
        <v>258</v>
      </c>
      <c r="P9" s="691" t="s">
        <v>259</v>
      </c>
      <c r="Q9" s="691" t="s">
        <v>260</v>
      </c>
      <c r="R9" s="691" t="s">
        <v>261</v>
      </c>
      <c r="S9" s="691" t="s">
        <v>262</v>
      </c>
      <c r="T9" s="691" t="s">
        <v>263</v>
      </c>
      <c r="U9" s="184" t="s">
        <v>219</v>
      </c>
      <c r="V9" s="184" t="s">
        <v>220</v>
      </c>
      <c r="W9" s="184" t="s">
        <v>221</v>
      </c>
      <c r="X9" s="184" t="s">
        <v>222</v>
      </c>
      <c r="Y9" s="184" t="s">
        <v>223</v>
      </c>
      <c r="Z9" s="184" t="s">
        <v>224</v>
      </c>
      <c r="AA9" s="184" t="s">
        <v>225</v>
      </c>
      <c r="AB9" s="184" t="s">
        <v>226</v>
      </c>
      <c r="AC9" s="184" t="s">
        <v>227</v>
      </c>
      <c r="AD9" s="184" t="s">
        <v>228</v>
      </c>
      <c r="AE9" s="184" t="s">
        <v>229</v>
      </c>
      <c r="AF9" s="184" t="s">
        <v>230</v>
      </c>
      <c r="AG9" s="184" t="s">
        <v>231</v>
      </c>
      <c r="AH9" s="184" t="s">
        <v>232</v>
      </c>
      <c r="AI9" s="184" t="s">
        <v>233</v>
      </c>
      <c r="AJ9" s="184" t="s">
        <v>234</v>
      </c>
      <c r="AK9" s="173" t="s">
        <v>53</v>
      </c>
    </row>
    <row r="10" spans="1:37" x14ac:dyDescent="0.2">
      <c r="A10" s="172"/>
      <c r="B10" s="174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</row>
    <row r="11" spans="1:37" s="169" customFormat="1" x14ac:dyDescent="0.2">
      <c r="A11" s="294">
        <f>'Balance Volumetrico'!A11</f>
        <v>20130301</v>
      </c>
      <c r="B11" s="176">
        <f>IF('Balance Volumetrico'!B11&gt;0, 1,0)</f>
        <v>1</v>
      </c>
      <c r="C11" s="176">
        <f>IF('Balance Volumetrico'!C11&gt;0, 1,0)</f>
        <v>1</v>
      </c>
      <c r="D11" s="176">
        <f>IF('Balance Volumetrico'!D11&gt;0, 1,0)</f>
        <v>1</v>
      </c>
      <c r="E11" s="176">
        <f>IF('Balance Volumetrico'!E11&gt;0, 1,0)</f>
        <v>1</v>
      </c>
      <c r="F11" s="176">
        <f>IF('Balance Volumetrico'!F11&gt;0, 1,0)</f>
        <v>1</v>
      </c>
      <c r="G11" s="176">
        <f>IF('Balance Volumetrico'!G11&gt;0, 1,0)</f>
        <v>1</v>
      </c>
      <c r="H11" s="176">
        <f>IF('Balance Volumetrico'!H11&gt;0, 1,0)</f>
        <v>1</v>
      </c>
      <c r="I11" s="176">
        <f>IF('Balance Volumetrico'!I11&gt;0, 1,0)</f>
        <v>1</v>
      </c>
      <c r="J11" s="176">
        <f>IF('Balance Volumetrico'!J11&gt;0, 1,0)</f>
        <v>1</v>
      </c>
      <c r="K11" s="176">
        <f>IF('Balance Volumetrico'!K11&gt;0, 1,0)</f>
        <v>1</v>
      </c>
      <c r="L11" s="176">
        <f>IF('Balance Volumetrico'!L11&gt;0, 1,0)</f>
        <v>1</v>
      </c>
      <c r="M11" s="176">
        <f>IF('Balance Volumetrico'!M11&gt;0, 1,0)</f>
        <v>1</v>
      </c>
      <c r="N11" s="176">
        <f>IF('Balance Volumetrico'!N11&gt;0, 1,0)</f>
        <v>1</v>
      </c>
      <c r="O11" s="176">
        <f>IF('Balance Volumetrico'!O11&gt;0, 1,0)</f>
        <v>1</v>
      </c>
      <c r="P11" s="176">
        <f>IF('Balance Volumetrico'!P11&gt;0, 1,0)</f>
        <v>1</v>
      </c>
      <c r="Q11" s="176">
        <f>IF('Balance Volumetrico'!Q11&gt;0, 1,0)</f>
        <v>1</v>
      </c>
      <c r="R11" s="176">
        <f>IF('Balance Volumetrico'!R11&gt;0, 1,0)</f>
        <v>1</v>
      </c>
      <c r="S11" s="176">
        <f>IF('Balance Volumetrico'!S11&gt;0, 1,0)</f>
        <v>1</v>
      </c>
      <c r="T11" s="176">
        <f>IF('Balance Volumetrico'!T11&gt;0, 1,0)</f>
        <v>1</v>
      </c>
      <c r="U11" s="176">
        <f>IF('Balance Volumetrico'!U11&gt;0, 1,0)</f>
        <v>0</v>
      </c>
      <c r="V11" s="176">
        <f>IF('Balance Volumetrico'!V11&gt;0, 1,0)</f>
        <v>0</v>
      </c>
      <c r="W11" s="176">
        <f>IF('Balance Volumetrico'!W11&gt;0, 1,0)</f>
        <v>0</v>
      </c>
      <c r="X11" s="176">
        <f>IF('Balance Volumetrico'!X11&gt;0, 1,0)</f>
        <v>0</v>
      </c>
      <c r="Y11" s="176">
        <f>IF('Balance Volumetrico'!Y11&gt;0, 1,0)</f>
        <v>0</v>
      </c>
      <c r="Z11" s="176">
        <f>IF('Balance Volumetrico'!Z11&gt;0, 1,0)</f>
        <v>0</v>
      </c>
      <c r="AA11" s="176">
        <f>IF('Balance Volumetrico'!AA11&gt;0, 1,0)</f>
        <v>0</v>
      </c>
      <c r="AB11" s="176">
        <f>IF('Balance Volumetrico'!AB11&gt;0, 1,0)</f>
        <v>0</v>
      </c>
      <c r="AC11" s="176">
        <f>IF('Balance Volumetrico'!AC11&gt;0, 1,0)</f>
        <v>0</v>
      </c>
      <c r="AD11" s="176">
        <f>IF('Balance Volumetrico'!AD11&gt;0, 1,0)</f>
        <v>0</v>
      </c>
      <c r="AE11" s="176">
        <f>IF('Balance Volumetrico'!AE11&gt;0, 1,0)</f>
        <v>0</v>
      </c>
      <c r="AF11" s="176">
        <f>IF('Balance Volumetrico'!AF11&gt;0, 1,0)</f>
        <v>0</v>
      </c>
      <c r="AG11" s="176">
        <f>IF('Balance Volumetrico'!AG11&gt;0, 1,0)</f>
        <v>0</v>
      </c>
      <c r="AH11" s="176">
        <f>IF('Balance Volumetrico'!AH11&gt;0, 1,0)</f>
        <v>0</v>
      </c>
      <c r="AI11" s="176">
        <f>IF('Balance Volumetrico'!AI11&gt;0, 1,0)</f>
        <v>0</v>
      </c>
      <c r="AJ11" s="176">
        <f>IF('Balance Volumetrico'!AJ11&gt;0, 1,0)</f>
        <v>0</v>
      </c>
      <c r="AK11" s="176">
        <f>SUM(B11:AJ11)</f>
        <v>19</v>
      </c>
    </row>
    <row r="12" spans="1:37" s="169" customFormat="1" x14ac:dyDescent="0.2">
      <c r="A12" s="294">
        <f>'Balance Volumetrico'!A12</f>
        <v>20130302</v>
      </c>
      <c r="B12" s="176">
        <f>IF('Balance Volumetrico'!B12&gt;0, 1,0)</f>
        <v>1</v>
      </c>
      <c r="C12" s="176">
        <f>IF('Balance Volumetrico'!C12&gt;0, 1,0)</f>
        <v>1</v>
      </c>
      <c r="D12" s="176">
        <f>IF('Balance Volumetrico'!D12&gt;0, 1,0)</f>
        <v>1</v>
      </c>
      <c r="E12" s="176">
        <f>IF('Balance Volumetrico'!E12&gt;0, 1,0)</f>
        <v>1</v>
      </c>
      <c r="F12" s="176">
        <f>IF('Balance Volumetrico'!F12&gt;0, 1,0)</f>
        <v>1</v>
      </c>
      <c r="G12" s="176">
        <f>IF('Balance Volumetrico'!G12&gt;0, 1,0)</f>
        <v>1</v>
      </c>
      <c r="H12" s="176">
        <f>IF('Balance Volumetrico'!H12&gt;0, 1,0)</f>
        <v>1</v>
      </c>
      <c r="I12" s="176">
        <f>IF('Balance Volumetrico'!I12&gt;0, 1,0)</f>
        <v>1</v>
      </c>
      <c r="J12" s="176">
        <f>IF('Balance Volumetrico'!J12&gt;0, 1,0)</f>
        <v>1</v>
      </c>
      <c r="K12" s="176">
        <f>IF('Balance Volumetrico'!K12&gt;0, 1,0)</f>
        <v>1</v>
      </c>
      <c r="L12" s="176">
        <f>IF('Balance Volumetrico'!L12&gt;0, 1,0)</f>
        <v>1</v>
      </c>
      <c r="M12" s="176">
        <f>IF('Balance Volumetrico'!M12&gt;0, 1,0)</f>
        <v>0</v>
      </c>
      <c r="N12" s="176">
        <f>IF('Balance Volumetrico'!N12&gt;0, 1,0)</f>
        <v>1</v>
      </c>
      <c r="O12" s="176">
        <f>IF('Balance Volumetrico'!O12&gt;0, 1,0)</f>
        <v>1</v>
      </c>
      <c r="P12" s="176">
        <f>IF('Balance Volumetrico'!P12&gt;0, 1,0)</f>
        <v>1</v>
      </c>
      <c r="Q12" s="176">
        <f>IF('Balance Volumetrico'!Q12&gt;0, 1,0)</f>
        <v>1</v>
      </c>
      <c r="R12" s="176">
        <f>IF('Balance Volumetrico'!R12&gt;0, 1,0)</f>
        <v>1</v>
      </c>
      <c r="S12" s="176">
        <f>IF('Balance Volumetrico'!S12&gt;0, 1,0)</f>
        <v>1</v>
      </c>
      <c r="T12" s="176">
        <f>IF('Balance Volumetrico'!T12&gt;0, 1,0)</f>
        <v>1</v>
      </c>
      <c r="U12" s="176">
        <f>IF('Balance Volumetrico'!U12&gt;0, 1,0)</f>
        <v>0</v>
      </c>
      <c r="V12" s="176">
        <f>IF('Balance Volumetrico'!V12&gt;0, 1,0)</f>
        <v>0</v>
      </c>
      <c r="W12" s="176">
        <f>IF('Balance Volumetrico'!W12&gt;0, 1,0)</f>
        <v>0</v>
      </c>
      <c r="X12" s="176">
        <f>IF('Balance Volumetrico'!X12&gt;0, 1,0)</f>
        <v>0</v>
      </c>
      <c r="Y12" s="176">
        <f>IF('Balance Volumetrico'!Y12&gt;0, 1,0)</f>
        <v>0</v>
      </c>
      <c r="Z12" s="176">
        <f>IF('Balance Volumetrico'!Z12&gt;0, 1,0)</f>
        <v>0</v>
      </c>
      <c r="AA12" s="176">
        <f>IF('Balance Volumetrico'!AA12&gt;0, 1,0)</f>
        <v>0</v>
      </c>
      <c r="AB12" s="176">
        <f>IF('Balance Volumetrico'!AB12&gt;0, 1,0)</f>
        <v>0</v>
      </c>
      <c r="AC12" s="176">
        <f>IF('Balance Volumetrico'!AC12&gt;0, 1,0)</f>
        <v>0</v>
      </c>
      <c r="AD12" s="176">
        <f>IF('Balance Volumetrico'!AD12&gt;0, 1,0)</f>
        <v>0</v>
      </c>
      <c r="AE12" s="176">
        <f>IF('Balance Volumetrico'!AE12&gt;0, 1,0)</f>
        <v>0</v>
      </c>
      <c r="AF12" s="176">
        <f>IF('Balance Volumetrico'!AF12&gt;0, 1,0)</f>
        <v>0</v>
      </c>
      <c r="AG12" s="176">
        <f>IF('Balance Volumetrico'!AG12&gt;0, 1,0)</f>
        <v>0</v>
      </c>
      <c r="AH12" s="176">
        <f>IF('Balance Volumetrico'!AH12&gt;0, 1,0)</f>
        <v>0</v>
      </c>
      <c r="AI12" s="176">
        <f>IF('Balance Volumetrico'!AI12&gt;0, 1,0)</f>
        <v>0</v>
      </c>
      <c r="AJ12" s="176">
        <f>IF('Balance Volumetrico'!AJ12&gt;0, 1,0)</f>
        <v>0</v>
      </c>
      <c r="AK12" s="176">
        <f t="shared" ref="AK12:AK41" si="0">SUM(B12:AJ12)</f>
        <v>18</v>
      </c>
    </row>
    <row r="13" spans="1:37" s="169" customFormat="1" x14ac:dyDescent="0.2">
      <c r="A13" s="294">
        <f>'Balance Volumetrico'!A13</f>
        <v>20130303</v>
      </c>
      <c r="B13" s="176">
        <f>IF('Balance Volumetrico'!B13&gt;0, 1,0)</f>
        <v>1</v>
      </c>
      <c r="C13" s="176">
        <f>IF('Balance Volumetrico'!C13&gt;0, 1,0)</f>
        <v>1</v>
      </c>
      <c r="D13" s="176">
        <f>IF('Balance Volumetrico'!D13&gt;0, 1,0)</f>
        <v>1</v>
      </c>
      <c r="E13" s="176">
        <f>IF('Balance Volumetrico'!E13&gt;0, 1,0)</f>
        <v>1</v>
      </c>
      <c r="F13" s="176">
        <f>IF('Balance Volumetrico'!F13&gt;0, 1,0)</f>
        <v>1</v>
      </c>
      <c r="G13" s="176">
        <f>IF('Balance Volumetrico'!G13&gt;0, 1,0)</f>
        <v>1</v>
      </c>
      <c r="H13" s="176">
        <f>IF('Balance Volumetrico'!H13&gt;0, 1,0)</f>
        <v>1</v>
      </c>
      <c r="I13" s="176">
        <f>IF('Balance Volumetrico'!I13&gt;0, 1,0)</f>
        <v>1</v>
      </c>
      <c r="J13" s="176">
        <f>IF('Balance Volumetrico'!J13&gt;0, 1,0)</f>
        <v>1</v>
      </c>
      <c r="K13" s="176">
        <f>IF('Balance Volumetrico'!K13&gt;0, 1,0)</f>
        <v>1</v>
      </c>
      <c r="L13" s="176">
        <f>IF('Balance Volumetrico'!L13&gt;0, 1,0)</f>
        <v>1</v>
      </c>
      <c r="M13" s="176">
        <f>IF('Balance Volumetrico'!M13&gt;0, 1,0)</f>
        <v>0</v>
      </c>
      <c r="N13" s="176">
        <f>IF('Balance Volumetrico'!N13&gt;0, 1,0)</f>
        <v>1</v>
      </c>
      <c r="O13" s="176">
        <f>IF('Balance Volumetrico'!O13&gt;0, 1,0)</f>
        <v>1</v>
      </c>
      <c r="P13" s="176">
        <f>IF('Balance Volumetrico'!P13&gt;0, 1,0)</f>
        <v>1</v>
      </c>
      <c r="Q13" s="176">
        <f>IF('Balance Volumetrico'!Q13&gt;0, 1,0)</f>
        <v>1</v>
      </c>
      <c r="R13" s="176">
        <f>IF('Balance Volumetrico'!R13&gt;0, 1,0)</f>
        <v>0</v>
      </c>
      <c r="S13" s="176">
        <f>IF('Balance Volumetrico'!S13&gt;0, 1,0)</f>
        <v>1</v>
      </c>
      <c r="T13" s="176">
        <f>IF('Balance Volumetrico'!T13&gt;0, 1,0)</f>
        <v>1</v>
      </c>
      <c r="U13" s="176">
        <f>IF('Balance Volumetrico'!U13&gt;0, 1,0)</f>
        <v>0</v>
      </c>
      <c r="V13" s="176">
        <f>IF('Balance Volumetrico'!V13&gt;0, 1,0)</f>
        <v>0</v>
      </c>
      <c r="W13" s="176">
        <f>IF('Balance Volumetrico'!W13&gt;0, 1,0)</f>
        <v>0</v>
      </c>
      <c r="X13" s="176">
        <f>IF('Balance Volumetrico'!X13&gt;0, 1,0)</f>
        <v>0</v>
      </c>
      <c r="Y13" s="176">
        <f>IF('Balance Volumetrico'!Y13&gt;0, 1,0)</f>
        <v>0</v>
      </c>
      <c r="Z13" s="176">
        <f>IF('Balance Volumetrico'!Z13&gt;0, 1,0)</f>
        <v>0</v>
      </c>
      <c r="AA13" s="176">
        <f>IF('Balance Volumetrico'!AA13&gt;0, 1,0)</f>
        <v>0</v>
      </c>
      <c r="AB13" s="176">
        <f>IF('Balance Volumetrico'!AB13&gt;0, 1,0)</f>
        <v>0</v>
      </c>
      <c r="AC13" s="176">
        <f>IF('Balance Volumetrico'!AC13&gt;0, 1,0)</f>
        <v>0</v>
      </c>
      <c r="AD13" s="176">
        <f>IF('Balance Volumetrico'!AD13&gt;0, 1,0)</f>
        <v>0</v>
      </c>
      <c r="AE13" s="176">
        <f>IF('Balance Volumetrico'!AE13&gt;0, 1,0)</f>
        <v>0</v>
      </c>
      <c r="AF13" s="176">
        <f>IF('Balance Volumetrico'!AF13&gt;0, 1,0)</f>
        <v>0</v>
      </c>
      <c r="AG13" s="176">
        <f>IF('Balance Volumetrico'!AG13&gt;0, 1,0)</f>
        <v>0</v>
      </c>
      <c r="AH13" s="176">
        <f>IF('Balance Volumetrico'!AH13&gt;0, 1,0)</f>
        <v>0</v>
      </c>
      <c r="AI13" s="176">
        <f>IF('Balance Volumetrico'!AI13&gt;0, 1,0)</f>
        <v>0</v>
      </c>
      <c r="AJ13" s="176">
        <f>IF('Balance Volumetrico'!AJ13&gt;0, 1,0)</f>
        <v>0</v>
      </c>
      <c r="AK13" s="176">
        <f t="shared" si="0"/>
        <v>17</v>
      </c>
    </row>
    <row r="14" spans="1:37" s="169" customFormat="1" x14ac:dyDescent="0.2">
      <c r="A14" s="294">
        <f>'Balance Volumetrico'!A14</f>
        <v>20130304</v>
      </c>
      <c r="B14" s="176">
        <f>IF('Balance Volumetrico'!B14&gt;0, 1,0)</f>
        <v>1</v>
      </c>
      <c r="C14" s="176">
        <f>IF('Balance Volumetrico'!C14&gt;0, 1,0)</f>
        <v>1</v>
      </c>
      <c r="D14" s="176">
        <f>IF('Balance Volumetrico'!D14&gt;0, 1,0)</f>
        <v>1</v>
      </c>
      <c r="E14" s="176">
        <f>IF('Balance Volumetrico'!E14&gt;0, 1,0)</f>
        <v>1</v>
      </c>
      <c r="F14" s="176">
        <f>IF('Balance Volumetrico'!F14&gt;0, 1,0)</f>
        <v>1</v>
      </c>
      <c r="G14" s="176">
        <f>IF('Balance Volumetrico'!G14&gt;0, 1,0)</f>
        <v>1</v>
      </c>
      <c r="H14" s="176">
        <f>IF('Balance Volumetrico'!H14&gt;0, 1,0)</f>
        <v>1</v>
      </c>
      <c r="I14" s="176">
        <f>IF('Balance Volumetrico'!I14&gt;0, 1,0)</f>
        <v>1</v>
      </c>
      <c r="J14" s="176">
        <f>IF('Balance Volumetrico'!J14&gt;0, 1,0)</f>
        <v>1</v>
      </c>
      <c r="K14" s="176">
        <f>IF('Balance Volumetrico'!K14&gt;0, 1,0)</f>
        <v>1</v>
      </c>
      <c r="L14" s="176">
        <f>IF('Balance Volumetrico'!L14&gt;0, 1,0)</f>
        <v>1</v>
      </c>
      <c r="M14" s="176">
        <f>IF('Balance Volumetrico'!M14&gt;0, 1,0)</f>
        <v>1</v>
      </c>
      <c r="N14" s="176">
        <f>IF('Balance Volumetrico'!N14&gt;0, 1,0)</f>
        <v>1</v>
      </c>
      <c r="O14" s="176">
        <f>IF('Balance Volumetrico'!O14&gt;0, 1,0)</f>
        <v>1</v>
      </c>
      <c r="P14" s="176">
        <f>IF('Balance Volumetrico'!P14&gt;0, 1,0)</f>
        <v>1</v>
      </c>
      <c r="Q14" s="176">
        <f>IF('Balance Volumetrico'!Q14&gt;0, 1,0)</f>
        <v>1</v>
      </c>
      <c r="R14" s="176">
        <f>IF('Balance Volumetrico'!R14&gt;0, 1,0)</f>
        <v>1</v>
      </c>
      <c r="S14" s="176">
        <f>IF('Balance Volumetrico'!S14&gt;0, 1,0)</f>
        <v>1</v>
      </c>
      <c r="T14" s="176">
        <f>IF('Balance Volumetrico'!T14&gt;0, 1,0)</f>
        <v>1</v>
      </c>
      <c r="U14" s="176">
        <f>IF('Balance Volumetrico'!U14&gt;0, 1,0)</f>
        <v>0</v>
      </c>
      <c r="V14" s="176">
        <f>IF('Balance Volumetrico'!V14&gt;0, 1,0)</f>
        <v>0</v>
      </c>
      <c r="W14" s="176">
        <f>IF('Balance Volumetrico'!W14&gt;0, 1,0)</f>
        <v>0</v>
      </c>
      <c r="X14" s="176">
        <f>IF('Balance Volumetrico'!X14&gt;0, 1,0)</f>
        <v>0</v>
      </c>
      <c r="Y14" s="176">
        <f>IF('Balance Volumetrico'!Y14&gt;0, 1,0)</f>
        <v>0</v>
      </c>
      <c r="Z14" s="176">
        <f>IF('Balance Volumetrico'!Z14&gt;0, 1,0)</f>
        <v>0</v>
      </c>
      <c r="AA14" s="176">
        <f>IF('Balance Volumetrico'!AA14&gt;0, 1,0)</f>
        <v>0</v>
      </c>
      <c r="AB14" s="176">
        <f>IF('Balance Volumetrico'!AB14&gt;0, 1,0)</f>
        <v>0</v>
      </c>
      <c r="AC14" s="176">
        <f>IF('Balance Volumetrico'!AC14&gt;0, 1,0)</f>
        <v>0</v>
      </c>
      <c r="AD14" s="176">
        <f>IF('Balance Volumetrico'!AD14&gt;0, 1,0)</f>
        <v>0</v>
      </c>
      <c r="AE14" s="176">
        <f>IF('Balance Volumetrico'!AE14&gt;0, 1,0)</f>
        <v>0</v>
      </c>
      <c r="AF14" s="176">
        <f>IF('Balance Volumetrico'!AF14&gt;0, 1,0)</f>
        <v>0</v>
      </c>
      <c r="AG14" s="176">
        <f>IF('Balance Volumetrico'!AG14&gt;0, 1,0)</f>
        <v>0</v>
      </c>
      <c r="AH14" s="176">
        <f>IF('Balance Volumetrico'!AH14&gt;0, 1,0)</f>
        <v>0</v>
      </c>
      <c r="AI14" s="176">
        <f>IF('Balance Volumetrico'!AI14&gt;0, 1,0)</f>
        <v>0</v>
      </c>
      <c r="AJ14" s="176">
        <f>IF('Balance Volumetrico'!AJ14&gt;0, 1,0)</f>
        <v>0</v>
      </c>
      <c r="AK14" s="176">
        <f t="shared" si="0"/>
        <v>19</v>
      </c>
    </row>
    <row r="15" spans="1:37" s="169" customFormat="1" x14ac:dyDescent="0.2">
      <c r="A15" s="294">
        <f>'Balance Volumetrico'!A15</f>
        <v>20130305</v>
      </c>
      <c r="B15" s="176">
        <f>IF('Balance Volumetrico'!B15&gt;0, 1,0)</f>
        <v>1</v>
      </c>
      <c r="C15" s="176">
        <f>IF('Balance Volumetrico'!C15&gt;0, 1,0)</f>
        <v>1</v>
      </c>
      <c r="D15" s="176">
        <f>IF('Balance Volumetrico'!D15&gt;0, 1,0)</f>
        <v>1</v>
      </c>
      <c r="E15" s="176">
        <f>IF('Balance Volumetrico'!E15&gt;0, 1,0)</f>
        <v>1</v>
      </c>
      <c r="F15" s="176">
        <f>IF('Balance Volumetrico'!F15&gt;0, 1,0)</f>
        <v>1</v>
      </c>
      <c r="G15" s="176">
        <f>IF('Balance Volumetrico'!G15&gt;0, 1,0)</f>
        <v>1</v>
      </c>
      <c r="H15" s="176">
        <f>IF('Balance Volumetrico'!H15&gt;0, 1,0)</f>
        <v>1</v>
      </c>
      <c r="I15" s="176">
        <f>IF('Balance Volumetrico'!I15&gt;0, 1,0)</f>
        <v>1</v>
      </c>
      <c r="J15" s="176">
        <f>IF('Balance Volumetrico'!J15&gt;0, 1,0)</f>
        <v>1</v>
      </c>
      <c r="K15" s="176">
        <f>IF('Balance Volumetrico'!K15&gt;0, 1,0)</f>
        <v>1</v>
      </c>
      <c r="L15" s="176">
        <f>IF('Balance Volumetrico'!L15&gt;0, 1,0)</f>
        <v>1</v>
      </c>
      <c r="M15" s="176">
        <f>IF('Balance Volumetrico'!M15&gt;0, 1,0)</f>
        <v>1</v>
      </c>
      <c r="N15" s="176">
        <f>IF('Balance Volumetrico'!N15&gt;0, 1,0)</f>
        <v>1</v>
      </c>
      <c r="O15" s="176">
        <f>IF('Balance Volumetrico'!O15&gt;0, 1,0)</f>
        <v>1</v>
      </c>
      <c r="P15" s="176">
        <f>IF('Balance Volumetrico'!P15&gt;0, 1,0)</f>
        <v>1</v>
      </c>
      <c r="Q15" s="176">
        <f>IF('Balance Volumetrico'!Q15&gt;0, 1,0)</f>
        <v>1</v>
      </c>
      <c r="R15" s="176">
        <f>IF('Balance Volumetrico'!R15&gt;0, 1,0)</f>
        <v>1</v>
      </c>
      <c r="S15" s="176">
        <f>IF('Balance Volumetrico'!S15&gt;0, 1,0)</f>
        <v>1</v>
      </c>
      <c r="T15" s="176">
        <f>IF('Balance Volumetrico'!T15&gt;0, 1,0)</f>
        <v>1</v>
      </c>
      <c r="U15" s="176">
        <f>IF('Balance Volumetrico'!U15&gt;0, 1,0)</f>
        <v>0</v>
      </c>
      <c r="V15" s="176">
        <f>IF('Balance Volumetrico'!V15&gt;0, 1,0)</f>
        <v>0</v>
      </c>
      <c r="W15" s="176">
        <f>IF('Balance Volumetrico'!W15&gt;0, 1,0)</f>
        <v>0</v>
      </c>
      <c r="X15" s="176">
        <f>IF('Balance Volumetrico'!X15&gt;0, 1,0)</f>
        <v>0</v>
      </c>
      <c r="Y15" s="176">
        <f>IF('Balance Volumetrico'!Y15&gt;0, 1,0)</f>
        <v>0</v>
      </c>
      <c r="Z15" s="176">
        <f>IF('Balance Volumetrico'!Z15&gt;0, 1,0)</f>
        <v>0</v>
      </c>
      <c r="AA15" s="176">
        <f>IF('Balance Volumetrico'!AA15&gt;0, 1,0)</f>
        <v>0</v>
      </c>
      <c r="AB15" s="176">
        <f>IF('Balance Volumetrico'!AB15&gt;0, 1,0)</f>
        <v>0</v>
      </c>
      <c r="AC15" s="176">
        <f>IF('Balance Volumetrico'!AC15&gt;0, 1,0)</f>
        <v>0</v>
      </c>
      <c r="AD15" s="176">
        <f>IF('Balance Volumetrico'!AD15&gt;0, 1,0)</f>
        <v>0</v>
      </c>
      <c r="AE15" s="176">
        <f>IF('Balance Volumetrico'!AE15&gt;0, 1,0)</f>
        <v>0</v>
      </c>
      <c r="AF15" s="176">
        <f>IF('Balance Volumetrico'!AF15&gt;0, 1,0)</f>
        <v>0</v>
      </c>
      <c r="AG15" s="176">
        <f>IF('Balance Volumetrico'!AG15&gt;0, 1,0)</f>
        <v>0</v>
      </c>
      <c r="AH15" s="176">
        <f>IF('Balance Volumetrico'!AH15&gt;0, 1,0)</f>
        <v>0</v>
      </c>
      <c r="AI15" s="176">
        <f>IF('Balance Volumetrico'!AI15&gt;0, 1,0)</f>
        <v>0</v>
      </c>
      <c r="AJ15" s="176">
        <f>IF('Balance Volumetrico'!AJ15&gt;0, 1,0)</f>
        <v>0</v>
      </c>
      <c r="AK15" s="176">
        <f t="shared" si="0"/>
        <v>19</v>
      </c>
    </row>
    <row r="16" spans="1:37" s="169" customFormat="1" x14ac:dyDescent="0.2">
      <c r="A16" s="294">
        <f>'Balance Volumetrico'!A16</f>
        <v>20130306</v>
      </c>
      <c r="B16" s="176">
        <f>IF('Balance Volumetrico'!B16&gt;0, 1,0)</f>
        <v>0</v>
      </c>
      <c r="C16" s="176">
        <f>IF('Balance Volumetrico'!C16&gt;0, 1,0)</f>
        <v>1</v>
      </c>
      <c r="D16" s="176">
        <f>IF('Balance Volumetrico'!D16&gt;0, 1,0)</f>
        <v>1</v>
      </c>
      <c r="E16" s="176">
        <f>IF('Balance Volumetrico'!E16&gt;0, 1,0)</f>
        <v>1</v>
      </c>
      <c r="F16" s="176">
        <f>IF('Balance Volumetrico'!F16&gt;0, 1,0)</f>
        <v>1</v>
      </c>
      <c r="G16" s="176">
        <f>IF('Balance Volumetrico'!G16&gt;0, 1,0)</f>
        <v>1</v>
      </c>
      <c r="H16" s="176">
        <f>IF('Balance Volumetrico'!H16&gt;0, 1,0)</f>
        <v>1</v>
      </c>
      <c r="I16" s="176">
        <f>IF('Balance Volumetrico'!I16&gt;0, 1,0)</f>
        <v>1</v>
      </c>
      <c r="J16" s="176">
        <f>IF('Balance Volumetrico'!J16&gt;0, 1,0)</f>
        <v>1</v>
      </c>
      <c r="K16" s="176">
        <f>IF('Balance Volumetrico'!K16&gt;0, 1,0)</f>
        <v>1</v>
      </c>
      <c r="L16" s="176">
        <f>IF('Balance Volumetrico'!L16&gt;0, 1,0)</f>
        <v>1</v>
      </c>
      <c r="M16" s="176">
        <f>IF('Balance Volumetrico'!M16&gt;0, 1,0)</f>
        <v>1</v>
      </c>
      <c r="N16" s="176">
        <f>IF('Balance Volumetrico'!N16&gt;0, 1,0)</f>
        <v>1</v>
      </c>
      <c r="O16" s="176">
        <f>IF('Balance Volumetrico'!O16&gt;0, 1,0)</f>
        <v>1</v>
      </c>
      <c r="P16" s="176">
        <f>IF('Balance Volumetrico'!P16&gt;0, 1,0)</f>
        <v>1</v>
      </c>
      <c r="Q16" s="176">
        <f>IF('Balance Volumetrico'!Q16&gt;0, 1,0)</f>
        <v>1</v>
      </c>
      <c r="R16" s="176">
        <f>IF('Balance Volumetrico'!R16&gt;0, 1,0)</f>
        <v>1</v>
      </c>
      <c r="S16" s="176">
        <f>IF('Balance Volumetrico'!S16&gt;0, 1,0)</f>
        <v>1</v>
      </c>
      <c r="T16" s="176">
        <f>IF('Balance Volumetrico'!T16&gt;0, 1,0)</f>
        <v>1</v>
      </c>
      <c r="U16" s="176">
        <f>IF('Balance Volumetrico'!U16&gt;0, 1,0)</f>
        <v>0</v>
      </c>
      <c r="V16" s="176">
        <f>IF('Balance Volumetrico'!V16&gt;0, 1,0)</f>
        <v>0</v>
      </c>
      <c r="W16" s="176">
        <f>IF('Balance Volumetrico'!W16&gt;0, 1,0)</f>
        <v>0</v>
      </c>
      <c r="X16" s="176">
        <f>IF('Balance Volumetrico'!X16&gt;0, 1,0)</f>
        <v>0</v>
      </c>
      <c r="Y16" s="176">
        <f>IF('Balance Volumetrico'!Y16&gt;0, 1,0)</f>
        <v>0</v>
      </c>
      <c r="Z16" s="176">
        <f>IF('Balance Volumetrico'!Z16&gt;0, 1,0)</f>
        <v>0</v>
      </c>
      <c r="AA16" s="176">
        <f>IF('Balance Volumetrico'!AA16&gt;0, 1,0)</f>
        <v>0</v>
      </c>
      <c r="AB16" s="176">
        <f>IF('Balance Volumetrico'!AB16&gt;0, 1,0)</f>
        <v>0</v>
      </c>
      <c r="AC16" s="176">
        <f>IF('Balance Volumetrico'!AC16&gt;0, 1,0)</f>
        <v>0</v>
      </c>
      <c r="AD16" s="176">
        <f>IF('Balance Volumetrico'!AD16&gt;0, 1,0)</f>
        <v>0</v>
      </c>
      <c r="AE16" s="176">
        <f>IF('Balance Volumetrico'!AE16&gt;0, 1,0)</f>
        <v>0</v>
      </c>
      <c r="AF16" s="176">
        <f>IF('Balance Volumetrico'!AF16&gt;0, 1,0)</f>
        <v>0</v>
      </c>
      <c r="AG16" s="176">
        <f>IF('Balance Volumetrico'!AG16&gt;0, 1,0)</f>
        <v>0</v>
      </c>
      <c r="AH16" s="176">
        <f>IF('Balance Volumetrico'!AH16&gt;0, 1,0)</f>
        <v>0</v>
      </c>
      <c r="AI16" s="176">
        <f>IF('Balance Volumetrico'!AI16&gt;0, 1,0)</f>
        <v>0</v>
      </c>
      <c r="AJ16" s="176">
        <f>IF('Balance Volumetrico'!AJ16&gt;0, 1,0)</f>
        <v>0</v>
      </c>
      <c r="AK16" s="176">
        <f t="shared" si="0"/>
        <v>18</v>
      </c>
    </row>
    <row r="17" spans="1:37" s="169" customFormat="1" x14ac:dyDescent="0.2">
      <c r="A17" s="294">
        <f>'Balance Volumetrico'!A17</f>
        <v>20130307</v>
      </c>
      <c r="B17" s="176">
        <f>IF('Balance Volumetrico'!B17&gt;0, 1,0)</f>
        <v>1</v>
      </c>
      <c r="C17" s="176">
        <f>IF('Balance Volumetrico'!C17&gt;0, 1,0)</f>
        <v>1</v>
      </c>
      <c r="D17" s="176">
        <f>IF('Balance Volumetrico'!D17&gt;0, 1,0)</f>
        <v>1</v>
      </c>
      <c r="E17" s="176">
        <f>IF('Balance Volumetrico'!E17&gt;0, 1,0)</f>
        <v>1</v>
      </c>
      <c r="F17" s="176">
        <f>IF('Balance Volumetrico'!F17&gt;0, 1,0)</f>
        <v>1</v>
      </c>
      <c r="G17" s="176">
        <f>IF('Balance Volumetrico'!G17&gt;0, 1,0)</f>
        <v>1</v>
      </c>
      <c r="H17" s="176">
        <f>IF('Balance Volumetrico'!H17&gt;0, 1,0)</f>
        <v>1</v>
      </c>
      <c r="I17" s="176">
        <f>IF('Balance Volumetrico'!I17&gt;0, 1,0)</f>
        <v>1</v>
      </c>
      <c r="J17" s="176">
        <f>IF('Balance Volumetrico'!J17&gt;0, 1,0)</f>
        <v>1</v>
      </c>
      <c r="K17" s="176">
        <f>IF('Balance Volumetrico'!K17&gt;0, 1,0)</f>
        <v>1</v>
      </c>
      <c r="L17" s="176">
        <f>IF('Balance Volumetrico'!L17&gt;0, 1,0)</f>
        <v>1</v>
      </c>
      <c r="M17" s="176">
        <f>IF('Balance Volumetrico'!M17&gt;0, 1,0)</f>
        <v>1</v>
      </c>
      <c r="N17" s="176">
        <f>IF('Balance Volumetrico'!N17&gt;0, 1,0)</f>
        <v>1</v>
      </c>
      <c r="O17" s="176">
        <f>IF('Balance Volumetrico'!O17&gt;0, 1,0)</f>
        <v>1</v>
      </c>
      <c r="P17" s="176">
        <f>IF('Balance Volumetrico'!P17&gt;0, 1,0)</f>
        <v>1</v>
      </c>
      <c r="Q17" s="176">
        <f>IF('Balance Volumetrico'!Q17&gt;0, 1,0)</f>
        <v>1</v>
      </c>
      <c r="R17" s="176">
        <f>IF('Balance Volumetrico'!R17&gt;0, 1,0)</f>
        <v>1</v>
      </c>
      <c r="S17" s="176">
        <f>IF('Balance Volumetrico'!S17&gt;0, 1,0)</f>
        <v>1</v>
      </c>
      <c r="T17" s="176">
        <f>IF('Balance Volumetrico'!T17&gt;0, 1,0)</f>
        <v>1</v>
      </c>
      <c r="U17" s="176">
        <f>IF('Balance Volumetrico'!U17&gt;0, 1,0)</f>
        <v>0</v>
      </c>
      <c r="V17" s="176">
        <f>IF('Balance Volumetrico'!V17&gt;0, 1,0)</f>
        <v>0</v>
      </c>
      <c r="W17" s="176">
        <f>IF('Balance Volumetrico'!W17&gt;0, 1,0)</f>
        <v>0</v>
      </c>
      <c r="X17" s="176">
        <f>IF('Balance Volumetrico'!X17&gt;0, 1,0)</f>
        <v>0</v>
      </c>
      <c r="Y17" s="176">
        <f>IF('Balance Volumetrico'!Y17&gt;0, 1,0)</f>
        <v>0</v>
      </c>
      <c r="Z17" s="176">
        <f>IF('Balance Volumetrico'!Z17&gt;0, 1,0)</f>
        <v>0</v>
      </c>
      <c r="AA17" s="176">
        <f>IF('Balance Volumetrico'!AA17&gt;0, 1,0)</f>
        <v>0</v>
      </c>
      <c r="AB17" s="176">
        <f>IF('Balance Volumetrico'!AB17&gt;0, 1,0)</f>
        <v>0</v>
      </c>
      <c r="AC17" s="176">
        <f>IF('Balance Volumetrico'!AC17&gt;0, 1,0)</f>
        <v>0</v>
      </c>
      <c r="AD17" s="176">
        <f>IF('Balance Volumetrico'!AD17&gt;0, 1,0)</f>
        <v>0</v>
      </c>
      <c r="AE17" s="176">
        <f>IF('Balance Volumetrico'!AE17&gt;0, 1,0)</f>
        <v>0</v>
      </c>
      <c r="AF17" s="176">
        <f>IF('Balance Volumetrico'!AF17&gt;0, 1,0)</f>
        <v>0</v>
      </c>
      <c r="AG17" s="176">
        <f>IF('Balance Volumetrico'!AG17&gt;0, 1,0)</f>
        <v>0</v>
      </c>
      <c r="AH17" s="176">
        <f>IF('Balance Volumetrico'!AH17&gt;0, 1,0)</f>
        <v>0</v>
      </c>
      <c r="AI17" s="176">
        <f>IF('Balance Volumetrico'!AI17&gt;0, 1,0)</f>
        <v>0</v>
      </c>
      <c r="AJ17" s="176">
        <f>IF('Balance Volumetrico'!AJ17&gt;0, 1,0)</f>
        <v>0</v>
      </c>
      <c r="AK17" s="176">
        <f t="shared" si="0"/>
        <v>19</v>
      </c>
    </row>
    <row r="18" spans="1:37" s="169" customFormat="1" x14ac:dyDescent="0.2">
      <c r="A18" s="294">
        <f>'Balance Volumetrico'!A18</f>
        <v>20130308</v>
      </c>
      <c r="B18" s="176">
        <f>IF('Balance Volumetrico'!B18&gt;0, 1,0)</f>
        <v>0</v>
      </c>
      <c r="C18" s="176">
        <f>IF('Balance Volumetrico'!C18&gt;0, 1,0)</f>
        <v>1</v>
      </c>
      <c r="D18" s="176">
        <f>IF('Balance Volumetrico'!D18&gt;0, 1,0)</f>
        <v>1</v>
      </c>
      <c r="E18" s="176">
        <f>IF('Balance Volumetrico'!E18&gt;0, 1,0)</f>
        <v>1</v>
      </c>
      <c r="F18" s="176">
        <f>IF('Balance Volumetrico'!F18&gt;0, 1,0)</f>
        <v>1</v>
      </c>
      <c r="G18" s="176">
        <f>IF('Balance Volumetrico'!G18&gt;0, 1,0)</f>
        <v>1</v>
      </c>
      <c r="H18" s="176">
        <f>IF('Balance Volumetrico'!H18&gt;0, 1,0)</f>
        <v>1</v>
      </c>
      <c r="I18" s="176">
        <f>IF('Balance Volumetrico'!I18&gt;0, 1,0)</f>
        <v>1</v>
      </c>
      <c r="J18" s="176">
        <f>IF('Balance Volumetrico'!J18&gt;0, 1,0)</f>
        <v>1</v>
      </c>
      <c r="K18" s="176">
        <f>IF('Balance Volumetrico'!K18&gt;0, 1,0)</f>
        <v>1</v>
      </c>
      <c r="L18" s="176">
        <f>IF('Balance Volumetrico'!L18&gt;0, 1,0)</f>
        <v>1</v>
      </c>
      <c r="M18" s="176">
        <f>IF('Balance Volumetrico'!M18&gt;0, 1,0)</f>
        <v>0</v>
      </c>
      <c r="N18" s="176">
        <f>IF('Balance Volumetrico'!N18&gt;0, 1,0)</f>
        <v>1</v>
      </c>
      <c r="O18" s="176">
        <f>IF('Balance Volumetrico'!O18&gt;0, 1,0)</f>
        <v>1</v>
      </c>
      <c r="P18" s="176">
        <f>IF('Balance Volumetrico'!P18&gt;0, 1,0)</f>
        <v>1</v>
      </c>
      <c r="Q18" s="176">
        <f>IF('Balance Volumetrico'!Q18&gt;0, 1,0)</f>
        <v>1</v>
      </c>
      <c r="R18" s="176">
        <f>IF('Balance Volumetrico'!R18&gt;0, 1,0)</f>
        <v>1</v>
      </c>
      <c r="S18" s="176">
        <f>IF('Balance Volumetrico'!S18&gt;0, 1,0)</f>
        <v>1</v>
      </c>
      <c r="T18" s="176">
        <f>IF('Balance Volumetrico'!T18&gt;0, 1,0)</f>
        <v>1</v>
      </c>
      <c r="U18" s="176">
        <f>IF('Balance Volumetrico'!U18&gt;0, 1,0)</f>
        <v>0</v>
      </c>
      <c r="V18" s="176">
        <f>IF('Balance Volumetrico'!V18&gt;0, 1,0)</f>
        <v>0</v>
      </c>
      <c r="W18" s="176">
        <f>IF('Balance Volumetrico'!W18&gt;0, 1,0)</f>
        <v>0</v>
      </c>
      <c r="X18" s="176">
        <f>IF('Balance Volumetrico'!X18&gt;0, 1,0)</f>
        <v>0</v>
      </c>
      <c r="Y18" s="176">
        <f>IF('Balance Volumetrico'!Y18&gt;0, 1,0)</f>
        <v>0</v>
      </c>
      <c r="Z18" s="176">
        <f>IF('Balance Volumetrico'!Z18&gt;0, 1,0)</f>
        <v>0</v>
      </c>
      <c r="AA18" s="176">
        <f>IF('Balance Volumetrico'!AA18&gt;0, 1,0)</f>
        <v>0</v>
      </c>
      <c r="AB18" s="176">
        <f>IF('Balance Volumetrico'!AB18&gt;0, 1,0)</f>
        <v>0</v>
      </c>
      <c r="AC18" s="176">
        <f>IF('Balance Volumetrico'!AC18&gt;0, 1,0)</f>
        <v>0</v>
      </c>
      <c r="AD18" s="176">
        <f>IF('Balance Volumetrico'!AD18&gt;0, 1,0)</f>
        <v>0</v>
      </c>
      <c r="AE18" s="176">
        <f>IF('Balance Volumetrico'!AE18&gt;0, 1,0)</f>
        <v>0</v>
      </c>
      <c r="AF18" s="176">
        <f>IF('Balance Volumetrico'!AF18&gt;0, 1,0)</f>
        <v>0</v>
      </c>
      <c r="AG18" s="176">
        <f>IF('Balance Volumetrico'!AG18&gt;0, 1,0)</f>
        <v>0</v>
      </c>
      <c r="AH18" s="176">
        <f>IF('Balance Volumetrico'!AH18&gt;0, 1,0)</f>
        <v>0</v>
      </c>
      <c r="AI18" s="176">
        <f>IF('Balance Volumetrico'!AI18&gt;0, 1,0)</f>
        <v>0</v>
      </c>
      <c r="AJ18" s="176">
        <f>IF('Balance Volumetrico'!AJ18&gt;0, 1,0)</f>
        <v>0</v>
      </c>
      <c r="AK18" s="176">
        <f t="shared" si="0"/>
        <v>17</v>
      </c>
    </row>
    <row r="19" spans="1:37" s="169" customFormat="1" x14ac:dyDescent="0.2">
      <c r="A19" s="294">
        <f>'Balance Volumetrico'!A19</f>
        <v>20130309</v>
      </c>
      <c r="B19" s="176">
        <f>IF('Balance Volumetrico'!B19&gt;0, 1,0)</f>
        <v>0</v>
      </c>
      <c r="C19" s="176">
        <f>IF('Balance Volumetrico'!C19&gt;0, 1,0)</f>
        <v>1</v>
      </c>
      <c r="D19" s="176">
        <f>IF('Balance Volumetrico'!D19&gt;0, 1,0)</f>
        <v>1</v>
      </c>
      <c r="E19" s="176">
        <f>IF('Balance Volumetrico'!E19&gt;0, 1,0)</f>
        <v>1</v>
      </c>
      <c r="F19" s="176">
        <f>IF('Balance Volumetrico'!F19&gt;0, 1,0)</f>
        <v>1</v>
      </c>
      <c r="G19" s="176">
        <f>IF('Balance Volumetrico'!G19&gt;0, 1,0)</f>
        <v>1</v>
      </c>
      <c r="H19" s="176">
        <f>IF('Balance Volumetrico'!H19&gt;0, 1,0)</f>
        <v>1</v>
      </c>
      <c r="I19" s="176">
        <f>IF('Balance Volumetrico'!I19&gt;0, 1,0)</f>
        <v>1</v>
      </c>
      <c r="J19" s="176">
        <f>IF('Balance Volumetrico'!J19&gt;0, 1,0)</f>
        <v>1</v>
      </c>
      <c r="K19" s="176">
        <f>IF('Balance Volumetrico'!K19&gt;0, 1,0)</f>
        <v>1</v>
      </c>
      <c r="L19" s="176">
        <f>IF('Balance Volumetrico'!L19&gt;0, 1,0)</f>
        <v>1</v>
      </c>
      <c r="M19" s="176">
        <f>IF('Balance Volumetrico'!M19&gt;0, 1,0)</f>
        <v>0</v>
      </c>
      <c r="N19" s="176">
        <f>IF('Balance Volumetrico'!N19&gt;0, 1,0)</f>
        <v>1</v>
      </c>
      <c r="O19" s="176">
        <f>IF('Balance Volumetrico'!O19&gt;0, 1,0)</f>
        <v>1</v>
      </c>
      <c r="P19" s="176">
        <f>IF('Balance Volumetrico'!P19&gt;0, 1,0)</f>
        <v>1</v>
      </c>
      <c r="Q19" s="176">
        <f>IF('Balance Volumetrico'!Q19&gt;0, 1,0)</f>
        <v>1</v>
      </c>
      <c r="R19" s="176">
        <f>IF('Balance Volumetrico'!R19&gt;0, 1,0)</f>
        <v>1</v>
      </c>
      <c r="S19" s="176">
        <f>IF('Balance Volumetrico'!S19&gt;0, 1,0)</f>
        <v>1</v>
      </c>
      <c r="T19" s="176">
        <f>IF('Balance Volumetrico'!T19&gt;0, 1,0)</f>
        <v>1</v>
      </c>
      <c r="U19" s="176">
        <f>IF('Balance Volumetrico'!U19&gt;0, 1,0)</f>
        <v>0</v>
      </c>
      <c r="V19" s="176">
        <f>IF('Balance Volumetrico'!V19&gt;0, 1,0)</f>
        <v>0</v>
      </c>
      <c r="W19" s="176">
        <f>IF('Balance Volumetrico'!W19&gt;0, 1,0)</f>
        <v>0</v>
      </c>
      <c r="X19" s="176">
        <f>IF('Balance Volumetrico'!X19&gt;0, 1,0)</f>
        <v>0</v>
      </c>
      <c r="Y19" s="176">
        <f>IF('Balance Volumetrico'!Y19&gt;0, 1,0)</f>
        <v>0</v>
      </c>
      <c r="Z19" s="176">
        <f>IF('Balance Volumetrico'!Z19&gt;0, 1,0)</f>
        <v>0</v>
      </c>
      <c r="AA19" s="176">
        <f>IF('Balance Volumetrico'!AA19&gt;0, 1,0)</f>
        <v>0</v>
      </c>
      <c r="AB19" s="176">
        <f>IF('Balance Volumetrico'!AB19&gt;0, 1,0)</f>
        <v>0</v>
      </c>
      <c r="AC19" s="176">
        <f>IF('Balance Volumetrico'!AC19&gt;0, 1,0)</f>
        <v>0</v>
      </c>
      <c r="AD19" s="176">
        <f>IF('Balance Volumetrico'!AD19&gt;0, 1,0)</f>
        <v>0</v>
      </c>
      <c r="AE19" s="176">
        <f>IF('Balance Volumetrico'!AE19&gt;0, 1,0)</f>
        <v>0</v>
      </c>
      <c r="AF19" s="176">
        <f>IF('Balance Volumetrico'!AF19&gt;0, 1,0)</f>
        <v>0</v>
      </c>
      <c r="AG19" s="176">
        <f>IF('Balance Volumetrico'!AG19&gt;0, 1,0)</f>
        <v>0</v>
      </c>
      <c r="AH19" s="176">
        <f>IF('Balance Volumetrico'!AH19&gt;0, 1,0)</f>
        <v>0</v>
      </c>
      <c r="AI19" s="176">
        <f>IF('Balance Volumetrico'!AI19&gt;0, 1,0)</f>
        <v>0</v>
      </c>
      <c r="AJ19" s="176">
        <f>IF('Balance Volumetrico'!AJ19&gt;0, 1,0)</f>
        <v>0</v>
      </c>
      <c r="AK19" s="176">
        <f t="shared" si="0"/>
        <v>17</v>
      </c>
    </row>
    <row r="20" spans="1:37" s="169" customFormat="1" x14ac:dyDescent="0.2">
      <c r="A20" s="294">
        <f>'Balance Volumetrico'!A20</f>
        <v>20130310</v>
      </c>
      <c r="B20" s="176">
        <f>IF('Balance Volumetrico'!B20&gt;0, 1,0)</f>
        <v>1</v>
      </c>
      <c r="C20" s="176">
        <f>IF('Balance Volumetrico'!C20&gt;0, 1,0)</f>
        <v>1</v>
      </c>
      <c r="D20" s="176">
        <f>IF('Balance Volumetrico'!D20&gt;0, 1,0)</f>
        <v>1</v>
      </c>
      <c r="E20" s="176">
        <f>IF('Balance Volumetrico'!E20&gt;0, 1,0)</f>
        <v>1</v>
      </c>
      <c r="F20" s="176">
        <f>IF('Balance Volumetrico'!F20&gt;0, 1,0)</f>
        <v>1</v>
      </c>
      <c r="G20" s="176">
        <f>IF('Balance Volumetrico'!G20&gt;0, 1,0)</f>
        <v>1</v>
      </c>
      <c r="H20" s="176">
        <f>IF('Balance Volumetrico'!H20&gt;0, 1,0)</f>
        <v>1</v>
      </c>
      <c r="I20" s="176">
        <f>IF('Balance Volumetrico'!I20&gt;0, 1,0)</f>
        <v>1</v>
      </c>
      <c r="J20" s="176">
        <f>IF('Balance Volumetrico'!J20&gt;0, 1,0)</f>
        <v>1</v>
      </c>
      <c r="K20" s="176">
        <f>IF('Balance Volumetrico'!K20&gt;0, 1,0)</f>
        <v>1</v>
      </c>
      <c r="L20" s="176">
        <f>IF('Balance Volumetrico'!L20&gt;0, 1,0)</f>
        <v>1</v>
      </c>
      <c r="M20" s="176">
        <f>IF('Balance Volumetrico'!M20&gt;0, 1,0)</f>
        <v>1</v>
      </c>
      <c r="N20" s="176">
        <f>IF('Balance Volumetrico'!N20&gt;0, 1,0)</f>
        <v>1</v>
      </c>
      <c r="O20" s="176">
        <f>IF('Balance Volumetrico'!O20&gt;0, 1,0)</f>
        <v>1</v>
      </c>
      <c r="P20" s="176">
        <f>IF('Balance Volumetrico'!P20&gt;0, 1,0)</f>
        <v>1</v>
      </c>
      <c r="Q20" s="176">
        <f>IF('Balance Volumetrico'!Q20&gt;0, 1,0)</f>
        <v>1</v>
      </c>
      <c r="R20" s="176">
        <f>IF('Balance Volumetrico'!R20&gt;0, 1,0)</f>
        <v>0</v>
      </c>
      <c r="S20" s="176">
        <f>IF('Balance Volumetrico'!S20&gt;0, 1,0)</f>
        <v>1</v>
      </c>
      <c r="T20" s="176">
        <f>IF('Balance Volumetrico'!T20&gt;0, 1,0)</f>
        <v>1</v>
      </c>
      <c r="U20" s="176">
        <f>IF('Balance Volumetrico'!U20&gt;0, 1,0)</f>
        <v>0</v>
      </c>
      <c r="V20" s="176">
        <f>IF('Balance Volumetrico'!V20&gt;0, 1,0)</f>
        <v>0</v>
      </c>
      <c r="W20" s="176">
        <f>IF('Balance Volumetrico'!W20&gt;0, 1,0)</f>
        <v>0</v>
      </c>
      <c r="X20" s="176">
        <f>IF('Balance Volumetrico'!X20&gt;0, 1,0)</f>
        <v>0</v>
      </c>
      <c r="Y20" s="176">
        <f>IF('Balance Volumetrico'!Y20&gt;0, 1,0)</f>
        <v>0</v>
      </c>
      <c r="Z20" s="176">
        <f>IF('Balance Volumetrico'!Z20&gt;0, 1,0)</f>
        <v>0</v>
      </c>
      <c r="AA20" s="176">
        <f>IF('Balance Volumetrico'!AA20&gt;0, 1,0)</f>
        <v>0</v>
      </c>
      <c r="AB20" s="176">
        <f>IF('Balance Volumetrico'!AB20&gt;0, 1,0)</f>
        <v>0</v>
      </c>
      <c r="AC20" s="176">
        <f>IF('Balance Volumetrico'!AC20&gt;0, 1,0)</f>
        <v>0</v>
      </c>
      <c r="AD20" s="176">
        <f>IF('Balance Volumetrico'!AD20&gt;0, 1,0)</f>
        <v>0</v>
      </c>
      <c r="AE20" s="176">
        <f>IF('Balance Volumetrico'!AE20&gt;0, 1,0)</f>
        <v>0</v>
      </c>
      <c r="AF20" s="176">
        <f>IF('Balance Volumetrico'!AF20&gt;0, 1,0)</f>
        <v>0</v>
      </c>
      <c r="AG20" s="176">
        <f>IF('Balance Volumetrico'!AG20&gt;0, 1,0)</f>
        <v>0</v>
      </c>
      <c r="AH20" s="176">
        <f>IF('Balance Volumetrico'!AH20&gt;0, 1,0)</f>
        <v>0</v>
      </c>
      <c r="AI20" s="176">
        <f>IF('Balance Volumetrico'!AI20&gt;0, 1,0)</f>
        <v>0</v>
      </c>
      <c r="AJ20" s="176">
        <f>IF('Balance Volumetrico'!AJ20&gt;0, 1,0)</f>
        <v>0</v>
      </c>
      <c r="AK20" s="176">
        <f t="shared" si="0"/>
        <v>18</v>
      </c>
    </row>
    <row r="21" spans="1:37" s="169" customFormat="1" x14ac:dyDescent="0.2">
      <c r="A21" s="294">
        <f>'Balance Volumetrico'!A21</f>
        <v>20130311</v>
      </c>
      <c r="B21" s="176">
        <f>IF('Balance Volumetrico'!B21&gt;0, 1,0)</f>
        <v>1</v>
      </c>
      <c r="C21" s="176">
        <f>IF('Balance Volumetrico'!C21&gt;0, 1,0)</f>
        <v>1</v>
      </c>
      <c r="D21" s="176">
        <f>IF('Balance Volumetrico'!D21&gt;0, 1,0)</f>
        <v>1</v>
      </c>
      <c r="E21" s="176">
        <f>IF('Balance Volumetrico'!E21&gt;0, 1,0)</f>
        <v>1</v>
      </c>
      <c r="F21" s="176">
        <f>IF('Balance Volumetrico'!F21&gt;0, 1,0)</f>
        <v>1</v>
      </c>
      <c r="G21" s="176">
        <f>IF('Balance Volumetrico'!G21&gt;0, 1,0)</f>
        <v>1</v>
      </c>
      <c r="H21" s="176">
        <f>IF('Balance Volumetrico'!H21&gt;0, 1,0)</f>
        <v>1</v>
      </c>
      <c r="I21" s="176">
        <f>IF('Balance Volumetrico'!I21&gt;0, 1,0)</f>
        <v>1</v>
      </c>
      <c r="J21" s="176">
        <f>IF('Balance Volumetrico'!J21&gt;0, 1,0)</f>
        <v>1</v>
      </c>
      <c r="K21" s="176">
        <f>IF('Balance Volumetrico'!K21&gt;0, 1,0)</f>
        <v>1</v>
      </c>
      <c r="L21" s="176">
        <f>IF('Balance Volumetrico'!L21&gt;0, 1,0)</f>
        <v>1</v>
      </c>
      <c r="M21" s="176">
        <f>IF('Balance Volumetrico'!M21&gt;0, 1,0)</f>
        <v>1</v>
      </c>
      <c r="N21" s="176">
        <f>IF('Balance Volumetrico'!N21&gt;0, 1,0)</f>
        <v>1</v>
      </c>
      <c r="O21" s="176">
        <f>IF('Balance Volumetrico'!O21&gt;0, 1,0)</f>
        <v>1</v>
      </c>
      <c r="P21" s="176">
        <f>IF('Balance Volumetrico'!P21&gt;0, 1,0)</f>
        <v>1</v>
      </c>
      <c r="Q21" s="176">
        <f>IF('Balance Volumetrico'!Q21&gt;0, 1,0)</f>
        <v>1</v>
      </c>
      <c r="R21" s="176">
        <f>IF('Balance Volumetrico'!R21&gt;0, 1,0)</f>
        <v>1</v>
      </c>
      <c r="S21" s="176">
        <f>IF('Balance Volumetrico'!S21&gt;0, 1,0)</f>
        <v>1</v>
      </c>
      <c r="T21" s="176">
        <f>IF('Balance Volumetrico'!T21&gt;0, 1,0)</f>
        <v>1</v>
      </c>
      <c r="U21" s="176">
        <f>IF('Balance Volumetrico'!U21&gt;0, 1,0)</f>
        <v>0</v>
      </c>
      <c r="V21" s="176">
        <f>IF('Balance Volumetrico'!V21&gt;0, 1,0)</f>
        <v>0</v>
      </c>
      <c r="W21" s="176">
        <f>IF('Balance Volumetrico'!W21&gt;0, 1,0)</f>
        <v>0</v>
      </c>
      <c r="X21" s="176">
        <f>IF('Balance Volumetrico'!X21&gt;0, 1,0)</f>
        <v>0</v>
      </c>
      <c r="Y21" s="176">
        <f>IF('Balance Volumetrico'!Y21&gt;0, 1,0)</f>
        <v>0</v>
      </c>
      <c r="Z21" s="176">
        <f>IF('Balance Volumetrico'!Z21&gt;0, 1,0)</f>
        <v>0</v>
      </c>
      <c r="AA21" s="176">
        <f>IF('Balance Volumetrico'!AA21&gt;0, 1,0)</f>
        <v>0</v>
      </c>
      <c r="AB21" s="176">
        <f>IF('Balance Volumetrico'!AB21&gt;0, 1,0)</f>
        <v>0</v>
      </c>
      <c r="AC21" s="176">
        <f>IF('Balance Volumetrico'!AC21&gt;0, 1,0)</f>
        <v>0</v>
      </c>
      <c r="AD21" s="176">
        <f>IF('Balance Volumetrico'!AD21&gt;0, 1,0)</f>
        <v>0</v>
      </c>
      <c r="AE21" s="176">
        <f>IF('Balance Volumetrico'!AE21&gt;0, 1,0)</f>
        <v>0</v>
      </c>
      <c r="AF21" s="176">
        <f>IF('Balance Volumetrico'!AF21&gt;0, 1,0)</f>
        <v>0</v>
      </c>
      <c r="AG21" s="176">
        <f>IF('Balance Volumetrico'!AG21&gt;0, 1,0)</f>
        <v>0</v>
      </c>
      <c r="AH21" s="176">
        <f>IF('Balance Volumetrico'!AH21&gt;0, 1,0)</f>
        <v>0</v>
      </c>
      <c r="AI21" s="176">
        <f>IF('Balance Volumetrico'!AI21&gt;0, 1,0)</f>
        <v>0</v>
      </c>
      <c r="AJ21" s="176">
        <f>IF('Balance Volumetrico'!AJ21&gt;0, 1,0)</f>
        <v>0</v>
      </c>
      <c r="AK21" s="176">
        <f t="shared" si="0"/>
        <v>19</v>
      </c>
    </row>
    <row r="22" spans="1:37" s="169" customFormat="1" x14ac:dyDescent="0.2">
      <c r="A22" s="294">
        <f>'Balance Volumetrico'!A22</f>
        <v>20130312</v>
      </c>
      <c r="B22" s="176">
        <f>IF('Balance Volumetrico'!B22&gt;0, 1,0)</f>
        <v>1</v>
      </c>
      <c r="C22" s="176">
        <f>IF('Balance Volumetrico'!C22&gt;0, 1,0)</f>
        <v>1</v>
      </c>
      <c r="D22" s="176">
        <f>IF('Balance Volumetrico'!D22&gt;0, 1,0)</f>
        <v>1</v>
      </c>
      <c r="E22" s="176">
        <f>IF('Balance Volumetrico'!E22&gt;0, 1,0)</f>
        <v>1</v>
      </c>
      <c r="F22" s="176">
        <f>IF('Balance Volumetrico'!F22&gt;0, 1,0)</f>
        <v>1</v>
      </c>
      <c r="G22" s="176">
        <f>IF('Balance Volumetrico'!G22&gt;0, 1,0)</f>
        <v>1</v>
      </c>
      <c r="H22" s="176">
        <f>IF('Balance Volumetrico'!H22&gt;0, 1,0)</f>
        <v>1</v>
      </c>
      <c r="I22" s="176">
        <f>IF('Balance Volumetrico'!I22&gt;0, 1,0)</f>
        <v>1</v>
      </c>
      <c r="J22" s="176">
        <f>IF('Balance Volumetrico'!J22&gt;0, 1,0)</f>
        <v>1</v>
      </c>
      <c r="K22" s="176">
        <f>IF('Balance Volumetrico'!K22&gt;0, 1,0)</f>
        <v>1</v>
      </c>
      <c r="L22" s="176">
        <f>IF('Balance Volumetrico'!L22&gt;0, 1,0)</f>
        <v>1</v>
      </c>
      <c r="M22" s="176">
        <f>IF('Balance Volumetrico'!M22&gt;0, 1,0)</f>
        <v>1</v>
      </c>
      <c r="N22" s="176">
        <f>IF('Balance Volumetrico'!N22&gt;0, 1,0)</f>
        <v>1</v>
      </c>
      <c r="O22" s="176">
        <f>IF('Balance Volumetrico'!O22&gt;0, 1,0)</f>
        <v>1</v>
      </c>
      <c r="P22" s="176">
        <f>IF('Balance Volumetrico'!P22&gt;0, 1,0)</f>
        <v>1</v>
      </c>
      <c r="Q22" s="176">
        <f>IF('Balance Volumetrico'!Q22&gt;0, 1,0)</f>
        <v>1</v>
      </c>
      <c r="R22" s="176">
        <f>IF('Balance Volumetrico'!R22&gt;0, 1,0)</f>
        <v>1</v>
      </c>
      <c r="S22" s="176">
        <f>IF('Balance Volumetrico'!S22&gt;0, 1,0)</f>
        <v>1</v>
      </c>
      <c r="T22" s="176">
        <f>IF('Balance Volumetrico'!T22&gt;0, 1,0)</f>
        <v>1</v>
      </c>
      <c r="U22" s="176">
        <f>IF('Balance Volumetrico'!U22&gt;0, 1,0)</f>
        <v>0</v>
      </c>
      <c r="V22" s="176">
        <f>IF('Balance Volumetrico'!V22&gt;0, 1,0)</f>
        <v>0</v>
      </c>
      <c r="W22" s="176">
        <f>IF('Balance Volumetrico'!W22&gt;0, 1,0)</f>
        <v>0</v>
      </c>
      <c r="X22" s="176">
        <f>IF('Balance Volumetrico'!X22&gt;0, 1,0)</f>
        <v>0</v>
      </c>
      <c r="Y22" s="176">
        <f>IF('Balance Volumetrico'!Y22&gt;0, 1,0)</f>
        <v>0</v>
      </c>
      <c r="Z22" s="176">
        <f>IF('Balance Volumetrico'!Z22&gt;0, 1,0)</f>
        <v>0</v>
      </c>
      <c r="AA22" s="176">
        <f>IF('Balance Volumetrico'!AA22&gt;0, 1,0)</f>
        <v>0</v>
      </c>
      <c r="AB22" s="176">
        <f>IF('Balance Volumetrico'!AB22&gt;0, 1,0)</f>
        <v>0</v>
      </c>
      <c r="AC22" s="176">
        <f>IF('Balance Volumetrico'!AC22&gt;0, 1,0)</f>
        <v>0</v>
      </c>
      <c r="AD22" s="176">
        <f>IF('Balance Volumetrico'!AD22&gt;0, 1,0)</f>
        <v>0</v>
      </c>
      <c r="AE22" s="176">
        <f>IF('Balance Volumetrico'!AE22&gt;0, 1,0)</f>
        <v>0</v>
      </c>
      <c r="AF22" s="176">
        <f>IF('Balance Volumetrico'!AF22&gt;0, 1,0)</f>
        <v>0</v>
      </c>
      <c r="AG22" s="176">
        <f>IF('Balance Volumetrico'!AG22&gt;0, 1,0)</f>
        <v>0</v>
      </c>
      <c r="AH22" s="176">
        <f>IF('Balance Volumetrico'!AH22&gt;0, 1,0)</f>
        <v>0</v>
      </c>
      <c r="AI22" s="176">
        <f>IF('Balance Volumetrico'!AI22&gt;0, 1,0)</f>
        <v>0</v>
      </c>
      <c r="AJ22" s="176">
        <f>IF('Balance Volumetrico'!AJ22&gt;0, 1,0)</f>
        <v>0</v>
      </c>
      <c r="AK22" s="176">
        <f t="shared" si="0"/>
        <v>19</v>
      </c>
    </row>
    <row r="23" spans="1:37" s="169" customFormat="1" x14ac:dyDescent="0.2">
      <c r="A23" s="294">
        <f>'Balance Volumetrico'!A23</f>
        <v>20130313</v>
      </c>
      <c r="B23" s="176">
        <f>IF('Balance Volumetrico'!B23&gt;0, 1,0)</f>
        <v>1</v>
      </c>
      <c r="C23" s="176">
        <f>IF('Balance Volumetrico'!C23&gt;0, 1,0)</f>
        <v>1</v>
      </c>
      <c r="D23" s="176">
        <f>IF('Balance Volumetrico'!D23&gt;0, 1,0)</f>
        <v>1</v>
      </c>
      <c r="E23" s="176">
        <f>IF('Balance Volumetrico'!E23&gt;0, 1,0)</f>
        <v>1</v>
      </c>
      <c r="F23" s="176">
        <f>IF('Balance Volumetrico'!F23&gt;0, 1,0)</f>
        <v>1</v>
      </c>
      <c r="G23" s="176">
        <f>IF('Balance Volumetrico'!G23&gt;0, 1,0)</f>
        <v>1</v>
      </c>
      <c r="H23" s="176">
        <f>IF('Balance Volumetrico'!H23&gt;0, 1,0)</f>
        <v>1</v>
      </c>
      <c r="I23" s="176">
        <f>IF('Balance Volumetrico'!I23&gt;0, 1,0)</f>
        <v>1</v>
      </c>
      <c r="J23" s="176">
        <f>IF('Balance Volumetrico'!J23&gt;0, 1,0)</f>
        <v>1</v>
      </c>
      <c r="K23" s="176">
        <f>IF('Balance Volumetrico'!K23&gt;0, 1,0)</f>
        <v>1</v>
      </c>
      <c r="L23" s="176">
        <f>IF('Balance Volumetrico'!L23&gt;0, 1,0)</f>
        <v>1</v>
      </c>
      <c r="M23" s="176">
        <f>IF('Balance Volumetrico'!M23&gt;0, 1,0)</f>
        <v>1</v>
      </c>
      <c r="N23" s="176">
        <f>IF('Balance Volumetrico'!N23&gt;0, 1,0)</f>
        <v>1</v>
      </c>
      <c r="O23" s="176">
        <f>IF('Balance Volumetrico'!O23&gt;0, 1,0)</f>
        <v>1</v>
      </c>
      <c r="P23" s="176">
        <f>IF('Balance Volumetrico'!P23&gt;0, 1,0)</f>
        <v>1</v>
      </c>
      <c r="Q23" s="176">
        <f>IF('Balance Volumetrico'!Q23&gt;0, 1,0)</f>
        <v>1</v>
      </c>
      <c r="R23" s="176">
        <f>IF('Balance Volumetrico'!R23&gt;0, 1,0)</f>
        <v>1</v>
      </c>
      <c r="S23" s="176">
        <f>IF('Balance Volumetrico'!S23&gt;0, 1,0)</f>
        <v>1</v>
      </c>
      <c r="T23" s="176">
        <f>IF('Balance Volumetrico'!T23&gt;0, 1,0)</f>
        <v>1</v>
      </c>
      <c r="U23" s="176">
        <f>IF('Balance Volumetrico'!U23&gt;0, 1,0)</f>
        <v>0</v>
      </c>
      <c r="V23" s="176">
        <f>IF('Balance Volumetrico'!V23&gt;0, 1,0)</f>
        <v>0</v>
      </c>
      <c r="W23" s="176">
        <f>IF('Balance Volumetrico'!W23&gt;0, 1,0)</f>
        <v>0</v>
      </c>
      <c r="X23" s="176">
        <f>IF('Balance Volumetrico'!X23&gt;0, 1,0)</f>
        <v>0</v>
      </c>
      <c r="Y23" s="176">
        <f>IF('Balance Volumetrico'!Y23&gt;0, 1,0)</f>
        <v>0</v>
      </c>
      <c r="Z23" s="176">
        <f>IF('Balance Volumetrico'!Z23&gt;0, 1,0)</f>
        <v>0</v>
      </c>
      <c r="AA23" s="176">
        <f>IF('Balance Volumetrico'!AA23&gt;0, 1,0)</f>
        <v>0</v>
      </c>
      <c r="AB23" s="176">
        <f>IF('Balance Volumetrico'!AB23&gt;0, 1,0)</f>
        <v>0</v>
      </c>
      <c r="AC23" s="176">
        <f>IF('Balance Volumetrico'!AC23&gt;0, 1,0)</f>
        <v>0</v>
      </c>
      <c r="AD23" s="176">
        <f>IF('Balance Volumetrico'!AD23&gt;0, 1,0)</f>
        <v>0</v>
      </c>
      <c r="AE23" s="176">
        <f>IF('Balance Volumetrico'!AE23&gt;0, 1,0)</f>
        <v>0</v>
      </c>
      <c r="AF23" s="176">
        <f>IF('Balance Volumetrico'!AF23&gt;0, 1,0)</f>
        <v>0</v>
      </c>
      <c r="AG23" s="176">
        <f>IF('Balance Volumetrico'!AG23&gt;0, 1,0)</f>
        <v>0</v>
      </c>
      <c r="AH23" s="176">
        <f>IF('Balance Volumetrico'!AH23&gt;0, 1,0)</f>
        <v>0</v>
      </c>
      <c r="AI23" s="176">
        <f>IF('Balance Volumetrico'!AI23&gt;0, 1,0)</f>
        <v>0</v>
      </c>
      <c r="AJ23" s="176">
        <f>IF('Balance Volumetrico'!AJ23&gt;0, 1,0)</f>
        <v>0</v>
      </c>
      <c r="AK23" s="176">
        <f t="shared" si="0"/>
        <v>19</v>
      </c>
    </row>
    <row r="24" spans="1:37" s="169" customFormat="1" x14ac:dyDescent="0.2">
      <c r="A24" s="294">
        <f>'Balance Volumetrico'!A24</f>
        <v>20130314</v>
      </c>
      <c r="B24" s="176">
        <f>IF('Balance Volumetrico'!B24&gt;0, 1,0)</f>
        <v>1</v>
      </c>
      <c r="C24" s="176">
        <f>IF('Balance Volumetrico'!C24&gt;0, 1,0)</f>
        <v>1</v>
      </c>
      <c r="D24" s="176">
        <f>IF('Balance Volumetrico'!D24&gt;0, 1,0)</f>
        <v>1</v>
      </c>
      <c r="E24" s="176">
        <f>IF('Balance Volumetrico'!E24&gt;0, 1,0)</f>
        <v>1</v>
      </c>
      <c r="F24" s="176">
        <f>IF('Balance Volumetrico'!F24&gt;0, 1,0)</f>
        <v>1</v>
      </c>
      <c r="G24" s="176">
        <f>IF('Balance Volumetrico'!G24&gt;0, 1,0)</f>
        <v>1</v>
      </c>
      <c r="H24" s="176">
        <f>IF('Balance Volumetrico'!H24&gt;0, 1,0)</f>
        <v>1</v>
      </c>
      <c r="I24" s="176">
        <f>IF('Balance Volumetrico'!I24&gt;0, 1,0)</f>
        <v>1</v>
      </c>
      <c r="J24" s="176">
        <f>IF('Balance Volumetrico'!J24&gt;0, 1,0)</f>
        <v>1</v>
      </c>
      <c r="K24" s="176">
        <f>IF('Balance Volumetrico'!K24&gt;0, 1,0)</f>
        <v>1</v>
      </c>
      <c r="L24" s="176">
        <f>IF('Balance Volumetrico'!L24&gt;0, 1,0)</f>
        <v>1</v>
      </c>
      <c r="M24" s="176">
        <f>IF('Balance Volumetrico'!M24&gt;0, 1,0)</f>
        <v>1</v>
      </c>
      <c r="N24" s="176">
        <f>IF('Balance Volumetrico'!N24&gt;0, 1,0)</f>
        <v>1</v>
      </c>
      <c r="O24" s="176">
        <f>IF('Balance Volumetrico'!O24&gt;0, 1,0)</f>
        <v>1</v>
      </c>
      <c r="P24" s="176">
        <f>IF('Balance Volumetrico'!P24&gt;0, 1,0)</f>
        <v>1</v>
      </c>
      <c r="Q24" s="176">
        <f>IF('Balance Volumetrico'!Q24&gt;0, 1,0)</f>
        <v>1</v>
      </c>
      <c r="R24" s="176">
        <f>IF('Balance Volumetrico'!R24&gt;0, 1,0)</f>
        <v>1</v>
      </c>
      <c r="S24" s="176">
        <f>IF('Balance Volumetrico'!S24&gt;0, 1,0)</f>
        <v>1</v>
      </c>
      <c r="T24" s="176">
        <f>IF('Balance Volumetrico'!T24&gt;0, 1,0)</f>
        <v>1</v>
      </c>
      <c r="U24" s="176">
        <f>IF('Balance Volumetrico'!U24&gt;0, 1,0)</f>
        <v>0</v>
      </c>
      <c r="V24" s="176">
        <f>IF('Balance Volumetrico'!V24&gt;0, 1,0)</f>
        <v>0</v>
      </c>
      <c r="W24" s="176">
        <f>IF('Balance Volumetrico'!W24&gt;0, 1,0)</f>
        <v>0</v>
      </c>
      <c r="X24" s="176">
        <f>IF('Balance Volumetrico'!X24&gt;0, 1,0)</f>
        <v>0</v>
      </c>
      <c r="Y24" s="176">
        <f>IF('Balance Volumetrico'!Y24&gt;0, 1,0)</f>
        <v>0</v>
      </c>
      <c r="Z24" s="176">
        <f>IF('Balance Volumetrico'!Z24&gt;0, 1,0)</f>
        <v>0</v>
      </c>
      <c r="AA24" s="176">
        <f>IF('Balance Volumetrico'!AA24&gt;0, 1,0)</f>
        <v>0</v>
      </c>
      <c r="AB24" s="176">
        <f>IF('Balance Volumetrico'!AB24&gt;0, 1,0)</f>
        <v>0</v>
      </c>
      <c r="AC24" s="176">
        <f>IF('Balance Volumetrico'!AC24&gt;0, 1,0)</f>
        <v>0</v>
      </c>
      <c r="AD24" s="176">
        <f>IF('Balance Volumetrico'!AD24&gt;0, 1,0)</f>
        <v>0</v>
      </c>
      <c r="AE24" s="176">
        <f>IF('Balance Volumetrico'!AE24&gt;0, 1,0)</f>
        <v>0</v>
      </c>
      <c r="AF24" s="176">
        <f>IF('Balance Volumetrico'!AF24&gt;0, 1,0)</f>
        <v>0</v>
      </c>
      <c r="AG24" s="176">
        <f>IF('Balance Volumetrico'!AG24&gt;0, 1,0)</f>
        <v>0</v>
      </c>
      <c r="AH24" s="176">
        <f>IF('Balance Volumetrico'!AH24&gt;0, 1,0)</f>
        <v>0</v>
      </c>
      <c r="AI24" s="176">
        <f>IF('Balance Volumetrico'!AI24&gt;0, 1,0)</f>
        <v>0</v>
      </c>
      <c r="AJ24" s="176">
        <f>IF('Balance Volumetrico'!AJ24&gt;0, 1,0)</f>
        <v>0</v>
      </c>
      <c r="AK24" s="176">
        <f t="shared" si="0"/>
        <v>19</v>
      </c>
    </row>
    <row r="25" spans="1:37" s="169" customFormat="1" x14ac:dyDescent="0.2">
      <c r="A25" s="294">
        <f>'Balance Volumetrico'!A25</f>
        <v>20130315</v>
      </c>
      <c r="B25" s="176">
        <f>IF('Balance Volumetrico'!B25&gt;0, 1,0)</f>
        <v>0</v>
      </c>
      <c r="C25" s="176">
        <f>IF('Balance Volumetrico'!C25&gt;0, 1,0)</f>
        <v>1</v>
      </c>
      <c r="D25" s="176">
        <f>IF('Balance Volumetrico'!D25&gt;0, 1,0)</f>
        <v>1</v>
      </c>
      <c r="E25" s="176">
        <f>IF('Balance Volumetrico'!E25&gt;0, 1,0)</f>
        <v>1</v>
      </c>
      <c r="F25" s="176">
        <f>IF('Balance Volumetrico'!F25&gt;0, 1,0)</f>
        <v>1</v>
      </c>
      <c r="G25" s="176">
        <f>IF('Balance Volumetrico'!G25&gt;0, 1,0)</f>
        <v>1</v>
      </c>
      <c r="H25" s="176">
        <f>IF('Balance Volumetrico'!H25&gt;0, 1,0)</f>
        <v>1</v>
      </c>
      <c r="I25" s="176">
        <f>IF('Balance Volumetrico'!I25&gt;0, 1,0)</f>
        <v>1</v>
      </c>
      <c r="J25" s="176">
        <f>IF('Balance Volumetrico'!J25&gt;0, 1,0)</f>
        <v>1</v>
      </c>
      <c r="K25" s="176">
        <f>IF('Balance Volumetrico'!K25&gt;0, 1,0)</f>
        <v>1</v>
      </c>
      <c r="L25" s="176">
        <f>IF('Balance Volumetrico'!L25&gt;0, 1,0)</f>
        <v>1</v>
      </c>
      <c r="M25" s="176">
        <f>IF('Balance Volumetrico'!M25&gt;0, 1,0)</f>
        <v>1</v>
      </c>
      <c r="N25" s="176">
        <f>IF('Balance Volumetrico'!N25&gt;0, 1,0)</f>
        <v>1</v>
      </c>
      <c r="O25" s="176">
        <f>IF('Balance Volumetrico'!O25&gt;0, 1,0)</f>
        <v>1</v>
      </c>
      <c r="P25" s="176">
        <f>IF('Balance Volumetrico'!P25&gt;0, 1,0)</f>
        <v>1</v>
      </c>
      <c r="Q25" s="176">
        <f>IF('Balance Volumetrico'!Q25&gt;0, 1,0)</f>
        <v>1</v>
      </c>
      <c r="R25" s="176">
        <f>IF('Balance Volumetrico'!R25&gt;0, 1,0)</f>
        <v>1</v>
      </c>
      <c r="S25" s="176">
        <f>IF('Balance Volumetrico'!S25&gt;0, 1,0)</f>
        <v>1</v>
      </c>
      <c r="T25" s="176">
        <f>IF('Balance Volumetrico'!T25&gt;0, 1,0)</f>
        <v>1</v>
      </c>
      <c r="U25" s="176">
        <f>IF('Balance Volumetrico'!U25&gt;0, 1,0)</f>
        <v>0</v>
      </c>
      <c r="V25" s="176">
        <f>IF('Balance Volumetrico'!V25&gt;0, 1,0)</f>
        <v>0</v>
      </c>
      <c r="W25" s="176">
        <f>IF('Balance Volumetrico'!W25&gt;0, 1,0)</f>
        <v>0</v>
      </c>
      <c r="X25" s="176">
        <f>IF('Balance Volumetrico'!X25&gt;0, 1,0)</f>
        <v>0</v>
      </c>
      <c r="Y25" s="176">
        <f>IF('Balance Volumetrico'!Y25&gt;0, 1,0)</f>
        <v>0</v>
      </c>
      <c r="Z25" s="176">
        <f>IF('Balance Volumetrico'!Z25&gt;0, 1,0)</f>
        <v>0</v>
      </c>
      <c r="AA25" s="176">
        <f>IF('Balance Volumetrico'!AA25&gt;0, 1,0)</f>
        <v>0</v>
      </c>
      <c r="AB25" s="176">
        <f>IF('Balance Volumetrico'!AB25&gt;0, 1,0)</f>
        <v>0</v>
      </c>
      <c r="AC25" s="176">
        <f>IF('Balance Volumetrico'!AC25&gt;0, 1,0)</f>
        <v>0</v>
      </c>
      <c r="AD25" s="176">
        <f>IF('Balance Volumetrico'!AD25&gt;0, 1,0)</f>
        <v>0</v>
      </c>
      <c r="AE25" s="176">
        <f>IF('Balance Volumetrico'!AE25&gt;0, 1,0)</f>
        <v>0</v>
      </c>
      <c r="AF25" s="176">
        <f>IF('Balance Volumetrico'!AF25&gt;0, 1,0)</f>
        <v>0</v>
      </c>
      <c r="AG25" s="176">
        <f>IF('Balance Volumetrico'!AG25&gt;0, 1,0)</f>
        <v>0</v>
      </c>
      <c r="AH25" s="176">
        <f>IF('Balance Volumetrico'!AH25&gt;0, 1,0)</f>
        <v>0</v>
      </c>
      <c r="AI25" s="176">
        <f>IF('Balance Volumetrico'!AI25&gt;0, 1,0)</f>
        <v>0</v>
      </c>
      <c r="AJ25" s="176">
        <f>IF('Balance Volumetrico'!AJ25&gt;0, 1,0)</f>
        <v>0</v>
      </c>
      <c r="AK25" s="176">
        <f t="shared" si="0"/>
        <v>18</v>
      </c>
    </row>
    <row r="26" spans="1:37" s="169" customFormat="1" x14ac:dyDescent="0.2">
      <c r="A26" s="294">
        <f>'Balance Volumetrico'!A26</f>
        <v>20130316</v>
      </c>
      <c r="B26" s="176">
        <f>IF('Balance Volumetrico'!B26&gt;0, 1,0)</f>
        <v>0</v>
      </c>
      <c r="C26" s="176">
        <f>IF('Balance Volumetrico'!C26&gt;0, 1,0)</f>
        <v>1</v>
      </c>
      <c r="D26" s="176">
        <f>IF('Balance Volumetrico'!D26&gt;0, 1,0)</f>
        <v>1</v>
      </c>
      <c r="E26" s="176">
        <f>IF('Balance Volumetrico'!E26&gt;0, 1,0)</f>
        <v>1</v>
      </c>
      <c r="F26" s="176">
        <f>IF('Balance Volumetrico'!F26&gt;0, 1,0)</f>
        <v>1</v>
      </c>
      <c r="G26" s="176">
        <f>IF('Balance Volumetrico'!G26&gt;0, 1,0)</f>
        <v>1</v>
      </c>
      <c r="H26" s="176">
        <f>IF('Balance Volumetrico'!H26&gt;0, 1,0)</f>
        <v>1</v>
      </c>
      <c r="I26" s="176">
        <f>IF('Balance Volumetrico'!I26&gt;0, 1,0)</f>
        <v>1</v>
      </c>
      <c r="J26" s="176">
        <f>IF('Balance Volumetrico'!J26&gt;0, 1,0)</f>
        <v>1</v>
      </c>
      <c r="K26" s="176">
        <f>IF('Balance Volumetrico'!K26&gt;0, 1,0)</f>
        <v>1</v>
      </c>
      <c r="L26" s="176">
        <f>IF('Balance Volumetrico'!L26&gt;0, 1,0)</f>
        <v>1</v>
      </c>
      <c r="M26" s="176">
        <f>IF('Balance Volumetrico'!M26&gt;0, 1,0)</f>
        <v>1</v>
      </c>
      <c r="N26" s="176">
        <f>IF('Balance Volumetrico'!N26&gt;0, 1,0)</f>
        <v>1</v>
      </c>
      <c r="O26" s="176">
        <f>IF('Balance Volumetrico'!O26&gt;0, 1,0)</f>
        <v>1</v>
      </c>
      <c r="P26" s="176">
        <f>IF('Balance Volumetrico'!P26&gt;0, 1,0)</f>
        <v>1</v>
      </c>
      <c r="Q26" s="176">
        <f>IF('Balance Volumetrico'!Q26&gt;0, 1,0)</f>
        <v>1</v>
      </c>
      <c r="R26" s="176">
        <f>IF('Balance Volumetrico'!R26&gt;0, 1,0)</f>
        <v>1</v>
      </c>
      <c r="S26" s="176">
        <f>IF('Balance Volumetrico'!S26&gt;0, 1,0)</f>
        <v>1</v>
      </c>
      <c r="T26" s="176">
        <f>IF('Balance Volumetrico'!T26&gt;0, 1,0)</f>
        <v>1</v>
      </c>
      <c r="U26" s="176">
        <f>IF('Balance Volumetrico'!U26&gt;0, 1,0)</f>
        <v>0</v>
      </c>
      <c r="V26" s="176">
        <f>IF('Balance Volumetrico'!V26&gt;0, 1,0)</f>
        <v>0</v>
      </c>
      <c r="W26" s="176">
        <f>IF('Balance Volumetrico'!W26&gt;0, 1,0)</f>
        <v>0</v>
      </c>
      <c r="X26" s="176">
        <f>IF('Balance Volumetrico'!X26&gt;0, 1,0)</f>
        <v>0</v>
      </c>
      <c r="Y26" s="176">
        <f>IF('Balance Volumetrico'!Y26&gt;0, 1,0)</f>
        <v>0</v>
      </c>
      <c r="Z26" s="176">
        <f>IF('Balance Volumetrico'!Z26&gt;0, 1,0)</f>
        <v>0</v>
      </c>
      <c r="AA26" s="176">
        <f>IF('Balance Volumetrico'!AA26&gt;0, 1,0)</f>
        <v>0</v>
      </c>
      <c r="AB26" s="176">
        <f>IF('Balance Volumetrico'!AB26&gt;0, 1,0)</f>
        <v>0</v>
      </c>
      <c r="AC26" s="176">
        <f>IF('Balance Volumetrico'!AC26&gt;0, 1,0)</f>
        <v>0</v>
      </c>
      <c r="AD26" s="176">
        <f>IF('Balance Volumetrico'!AD26&gt;0, 1,0)</f>
        <v>0</v>
      </c>
      <c r="AE26" s="176">
        <f>IF('Balance Volumetrico'!AE26&gt;0, 1,0)</f>
        <v>0</v>
      </c>
      <c r="AF26" s="176">
        <f>IF('Balance Volumetrico'!AF26&gt;0, 1,0)</f>
        <v>0</v>
      </c>
      <c r="AG26" s="176">
        <f>IF('Balance Volumetrico'!AG26&gt;0, 1,0)</f>
        <v>0</v>
      </c>
      <c r="AH26" s="176">
        <f>IF('Balance Volumetrico'!AH26&gt;0, 1,0)</f>
        <v>0</v>
      </c>
      <c r="AI26" s="176">
        <f>IF('Balance Volumetrico'!AI26&gt;0, 1,0)</f>
        <v>0</v>
      </c>
      <c r="AJ26" s="176">
        <f>IF('Balance Volumetrico'!AJ26&gt;0, 1,0)</f>
        <v>0</v>
      </c>
      <c r="AK26" s="176">
        <f t="shared" si="0"/>
        <v>18</v>
      </c>
    </row>
    <row r="27" spans="1:37" s="169" customFormat="1" x14ac:dyDescent="0.2">
      <c r="A27" s="294">
        <f>'Balance Volumetrico'!A27</f>
        <v>20130317</v>
      </c>
      <c r="B27" s="176">
        <f>IF('Balance Volumetrico'!B27&gt;0, 1,0)</f>
        <v>0</v>
      </c>
      <c r="C27" s="176">
        <f>IF('Balance Volumetrico'!C27&gt;0, 1,0)</f>
        <v>1</v>
      </c>
      <c r="D27" s="176">
        <f>IF('Balance Volumetrico'!D27&gt;0, 1,0)</f>
        <v>0</v>
      </c>
      <c r="E27" s="176">
        <f>IF('Balance Volumetrico'!E27&gt;0, 1,0)</f>
        <v>1</v>
      </c>
      <c r="F27" s="176">
        <f>IF('Balance Volumetrico'!F27&gt;0, 1,0)</f>
        <v>0</v>
      </c>
      <c r="G27" s="176">
        <f>IF('Balance Volumetrico'!G27&gt;0, 1,0)</f>
        <v>1</v>
      </c>
      <c r="H27" s="176">
        <f>IF('Balance Volumetrico'!H27&gt;0, 1,0)</f>
        <v>1</v>
      </c>
      <c r="I27" s="176">
        <f>IF('Balance Volumetrico'!I27&gt;0, 1,0)</f>
        <v>1</v>
      </c>
      <c r="J27" s="176">
        <f>IF('Balance Volumetrico'!J27&gt;0, 1,0)</f>
        <v>0</v>
      </c>
      <c r="K27" s="176">
        <f>IF('Balance Volumetrico'!K27&gt;0, 1,0)</f>
        <v>1</v>
      </c>
      <c r="L27" s="176">
        <f>IF('Balance Volumetrico'!L27&gt;0, 1,0)</f>
        <v>1</v>
      </c>
      <c r="M27" s="176">
        <f>IF('Balance Volumetrico'!M27&gt;0, 1,0)</f>
        <v>1</v>
      </c>
      <c r="N27" s="176">
        <f>IF('Balance Volumetrico'!N27&gt;0, 1,0)</f>
        <v>1</v>
      </c>
      <c r="O27" s="176">
        <f>IF('Balance Volumetrico'!O27&gt;0, 1,0)</f>
        <v>1</v>
      </c>
      <c r="P27" s="176">
        <f>IF('Balance Volumetrico'!P27&gt;0, 1,0)</f>
        <v>1</v>
      </c>
      <c r="Q27" s="176">
        <f>IF('Balance Volumetrico'!Q27&gt;0, 1,0)</f>
        <v>1</v>
      </c>
      <c r="R27" s="176">
        <f>IF('Balance Volumetrico'!R27&gt;0, 1,0)</f>
        <v>0</v>
      </c>
      <c r="S27" s="176">
        <f>IF('Balance Volumetrico'!S27&gt;0, 1,0)</f>
        <v>1</v>
      </c>
      <c r="T27" s="176">
        <f>IF('Balance Volumetrico'!T27&gt;0, 1,0)</f>
        <v>1</v>
      </c>
      <c r="U27" s="176">
        <f>IF('Balance Volumetrico'!U27&gt;0, 1,0)</f>
        <v>0</v>
      </c>
      <c r="V27" s="176">
        <f>IF('Balance Volumetrico'!V27&gt;0, 1,0)</f>
        <v>0</v>
      </c>
      <c r="W27" s="176">
        <f>IF('Balance Volumetrico'!W27&gt;0, 1,0)</f>
        <v>0</v>
      </c>
      <c r="X27" s="176">
        <f>IF('Balance Volumetrico'!X27&gt;0, 1,0)</f>
        <v>0</v>
      </c>
      <c r="Y27" s="176">
        <f>IF('Balance Volumetrico'!Y27&gt;0, 1,0)</f>
        <v>0</v>
      </c>
      <c r="Z27" s="176">
        <f>IF('Balance Volumetrico'!Z27&gt;0, 1,0)</f>
        <v>0</v>
      </c>
      <c r="AA27" s="176">
        <f>IF('Balance Volumetrico'!AA27&gt;0, 1,0)</f>
        <v>0</v>
      </c>
      <c r="AB27" s="176">
        <f>IF('Balance Volumetrico'!AB27&gt;0, 1,0)</f>
        <v>0</v>
      </c>
      <c r="AC27" s="176">
        <f>IF('Balance Volumetrico'!AC27&gt;0, 1,0)</f>
        <v>0</v>
      </c>
      <c r="AD27" s="176">
        <f>IF('Balance Volumetrico'!AD27&gt;0, 1,0)</f>
        <v>0</v>
      </c>
      <c r="AE27" s="176">
        <f>IF('Balance Volumetrico'!AE27&gt;0, 1,0)</f>
        <v>0</v>
      </c>
      <c r="AF27" s="176">
        <f>IF('Balance Volumetrico'!AF27&gt;0, 1,0)</f>
        <v>0</v>
      </c>
      <c r="AG27" s="176">
        <f>IF('Balance Volumetrico'!AG27&gt;0, 1,0)</f>
        <v>0</v>
      </c>
      <c r="AH27" s="176">
        <f>IF('Balance Volumetrico'!AH27&gt;0, 1,0)</f>
        <v>0</v>
      </c>
      <c r="AI27" s="176">
        <f>IF('Balance Volumetrico'!AI27&gt;0, 1,0)</f>
        <v>0</v>
      </c>
      <c r="AJ27" s="176">
        <f>IF('Balance Volumetrico'!AJ27&gt;0, 1,0)</f>
        <v>0</v>
      </c>
      <c r="AK27" s="176">
        <f t="shared" si="0"/>
        <v>14</v>
      </c>
    </row>
    <row r="28" spans="1:37" s="169" customFormat="1" x14ac:dyDescent="0.2">
      <c r="A28" s="294">
        <f>'Balance Volumetrico'!A28</f>
        <v>20130318</v>
      </c>
      <c r="B28" s="176">
        <f>IF('Balance Volumetrico'!B28&gt;0, 1,0)</f>
        <v>0</v>
      </c>
      <c r="C28" s="176">
        <f>IF('Balance Volumetrico'!C28&gt;0, 1,0)</f>
        <v>1</v>
      </c>
      <c r="D28" s="176">
        <f>IF('Balance Volumetrico'!D28&gt;0, 1,0)</f>
        <v>1</v>
      </c>
      <c r="E28" s="176">
        <f>IF('Balance Volumetrico'!E28&gt;0, 1,0)</f>
        <v>1</v>
      </c>
      <c r="F28" s="176">
        <f>IF('Balance Volumetrico'!F28&gt;0, 1,0)</f>
        <v>1</v>
      </c>
      <c r="G28" s="176">
        <f>IF('Balance Volumetrico'!G28&gt;0, 1,0)</f>
        <v>1</v>
      </c>
      <c r="H28" s="176">
        <f>IF('Balance Volumetrico'!H28&gt;0, 1,0)</f>
        <v>1</v>
      </c>
      <c r="I28" s="176">
        <f>IF('Balance Volumetrico'!I28&gt;0, 1,0)</f>
        <v>1</v>
      </c>
      <c r="J28" s="176">
        <f>IF('Balance Volumetrico'!J28&gt;0, 1,0)</f>
        <v>1</v>
      </c>
      <c r="K28" s="176">
        <f>IF('Balance Volumetrico'!K28&gt;0, 1,0)</f>
        <v>1</v>
      </c>
      <c r="L28" s="176">
        <f>IF('Balance Volumetrico'!L28&gt;0, 1,0)</f>
        <v>1</v>
      </c>
      <c r="M28" s="176">
        <f>IF('Balance Volumetrico'!M28&gt;0, 1,0)</f>
        <v>1</v>
      </c>
      <c r="N28" s="176">
        <f>IF('Balance Volumetrico'!N28&gt;0, 1,0)</f>
        <v>1</v>
      </c>
      <c r="O28" s="176">
        <f>IF('Balance Volumetrico'!O28&gt;0, 1,0)</f>
        <v>1</v>
      </c>
      <c r="P28" s="176">
        <f>IF('Balance Volumetrico'!P28&gt;0, 1,0)</f>
        <v>1</v>
      </c>
      <c r="Q28" s="176">
        <f>IF('Balance Volumetrico'!Q28&gt;0, 1,0)</f>
        <v>1</v>
      </c>
      <c r="R28" s="176">
        <f>IF('Balance Volumetrico'!R28&gt;0, 1,0)</f>
        <v>0</v>
      </c>
      <c r="S28" s="176">
        <f>IF('Balance Volumetrico'!S28&gt;0, 1,0)</f>
        <v>1</v>
      </c>
      <c r="T28" s="176">
        <f>IF('Balance Volumetrico'!T28&gt;0, 1,0)</f>
        <v>1</v>
      </c>
      <c r="U28" s="176">
        <f>IF('Balance Volumetrico'!U28&gt;0, 1,0)</f>
        <v>0</v>
      </c>
      <c r="V28" s="176">
        <f>IF('Balance Volumetrico'!V28&gt;0, 1,0)</f>
        <v>0</v>
      </c>
      <c r="W28" s="176">
        <f>IF('Balance Volumetrico'!W28&gt;0, 1,0)</f>
        <v>0</v>
      </c>
      <c r="X28" s="176">
        <f>IF('Balance Volumetrico'!X28&gt;0, 1,0)</f>
        <v>0</v>
      </c>
      <c r="Y28" s="176">
        <f>IF('Balance Volumetrico'!Y28&gt;0, 1,0)</f>
        <v>0</v>
      </c>
      <c r="Z28" s="176">
        <f>IF('Balance Volumetrico'!Z28&gt;0, 1,0)</f>
        <v>0</v>
      </c>
      <c r="AA28" s="176">
        <f>IF('Balance Volumetrico'!AA28&gt;0, 1,0)</f>
        <v>0</v>
      </c>
      <c r="AB28" s="176">
        <f>IF('Balance Volumetrico'!AB28&gt;0, 1,0)</f>
        <v>0</v>
      </c>
      <c r="AC28" s="176">
        <f>IF('Balance Volumetrico'!AC28&gt;0, 1,0)</f>
        <v>0</v>
      </c>
      <c r="AD28" s="176">
        <f>IF('Balance Volumetrico'!AD28&gt;0, 1,0)</f>
        <v>0</v>
      </c>
      <c r="AE28" s="176">
        <f>IF('Balance Volumetrico'!AE28&gt;0, 1,0)</f>
        <v>0</v>
      </c>
      <c r="AF28" s="176">
        <f>IF('Balance Volumetrico'!AF28&gt;0, 1,0)</f>
        <v>0</v>
      </c>
      <c r="AG28" s="176">
        <f>IF('Balance Volumetrico'!AG28&gt;0, 1,0)</f>
        <v>0</v>
      </c>
      <c r="AH28" s="176">
        <f>IF('Balance Volumetrico'!AH28&gt;0, 1,0)</f>
        <v>0</v>
      </c>
      <c r="AI28" s="176">
        <f>IF('Balance Volumetrico'!AI28&gt;0, 1,0)</f>
        <v>0</v>
      </c>
      <c r="AJ28" s="176">
        <f>IF('Balance Volumetrico'!AJ28&gt;0, 1,0)</f>
        <v>0</v>
      </c>
      <c r="AK28" s="176">
        <f t="shared" si="0"/>
        <v>17</v>
      </c>
    </row>
    <row r="29" spans="1:37" s="169" customFormat="1" x14ac:dyDescent="0.2">
      <c r="A29" s="294">
        <f>'Balance Volumetrico'!A29</f>
        <v>20130319</v>
      </c>
      <c r="B29" s="176">
        <f>IF('Balance Volumetrico'!B29&gt;0, 1,0)</f>
        <v>1</v>
      </c>
      <c r="C29" s="176">
        <f>IF('Balance Volumetrico'!C29&gt;0, 1,0)</f>
        <v>1</v>
      </c>
      <c r="D29" s="176">
        <f>IF('Balance Volumetrico'!D29&gt;0, 1,0)</f>
        <v>1</v>
      </c>
      <c r="E29" s="176">
        <f>IF('Balance Volumetrico'!E29&gt;0, 1,0)</f>
        <v>1</v>
      </c>
      <c r="F29" s="176">
        <f>IF('Balance Volumetrico'!F29&gt;0, 1,0)</f>
        <v>1</v>
      </c>
      <c r="G29" s="176">
        <f>IF('Balance Volumetrico'!G29&gt;0, 1,0)</f>
        <v>1</v>
      </c>
      <c r="H29" s="176">
        <f>IF('Balance Volumetrico'!H29&gt;0, 1,0)</f>
        <v>1</v>
      </c>
      <c r="I29" s="176">
        <f>IF('Balance Volumetrico'!I29&gt;0, 1,0)</f>
        <v>1</v>
      </c>
      <c r="J29" s="176">
        <f>IF('Balance Volumetrico'!J29&gt;0, 1,0)</f>
        <v>1</v>
      </c>
      <c r="K29" s="176">
        <f>IF('Balance Volumetrico'!K29&gt;0, 1,0)</f>
        <v>1</v>
      </c>
      <c r="L29" s="176">
        <f>IF('Balance Volumetrico'!L29&gt;0, 1,0)</f>
        <v>1</v>
      </c>
      <c r="M29" s="176">
        <f>IF('Balance Volumetrico'!M29&gt;0, 1,0)</f>
        <v>1</v>
      </c>
      <c r="N29" s="176">
        <f>IF('Balance Volumetrico'!N29&gt;0, 1,0)</f>
        <v>1</v>
      </c>
      <c r="O29" s="176">
        <f>IF('Balance Volumetrico'!O29&gt;0, 1,0)</f>
        <v>1</v>
      </c>
      <c r="P29" s="176">
        <f>IF('Balance Volumetrico'!P29&gt;0, 1,0)</f>
        <v>1</v>
      </c>
      <c r="Q29" s="176">
        <f>IF('Balance Volumetrico'!Q29&gt;0, 1,0)</f>
        <v>1</v>
      </c>
      <c r="R29" s="176">
        <f>IF('Balance Volumetrico'!R29&gt;0, 1,0)</f>
        <v>1</v>
      </c>
      <c r="S29" s="176">
        <f>IF('Balance Volumetrico'!S29&gt;0, 1,0)</f>
        <v>1</v>
      </c>
      <c r="T29" s="176">
        <f>IF('Balance Volumetrico'!T29&gt;0, 1,0)</f>
        <v>1</v>
      </c>
      <c r="U29" s="176">
        <f>IF('Balance Volumetrico'!U29&gt;0, 1,0)</f>
        <v>0</v>
      </c>
      <c r="V29" s="176">
        <f>IF('Balance Volumetrico'!V29&gt;0, 1,0)</f>
        <v>0</v>
      </c>
      <c r="W29" s="176">
        <f>IF('Balance Volumetrico'!W29&gt;0, 1,0)</f>
        <v>0</v>
      </c>
      <c r="X29" s="176">
        <f>IF('Balance Volumetrico'!X29&gt;0, 1,0)</f>
        <v>0</v>
      </c>
      <c r="Y29" s="176">
        <f>IF('Balance Volumetrico'!Y29&gt;0, 1,0)</f>
        <v>0</v>
      </c>
      <c r="Z29" s="176">
        <f>IF('Balance Volumetrico'!Z29&gt;0, 1,0)</f>
        <v>0</v>
      </c>
      <c r="AA29" s="176">
        <f>IF('Balance Volumetrico'!AA29&gt;0, 1,0)</f>
        <v>0</v>
      </c>
      <c r="AB29" s="176">
        <f>IF('Balance Volumetrico'!AB29&gt;0, 1,0)</f>
        <v>0</v>
      </c>
      <c r="AC29" s="176">
        <f>IF('Balance Volumetrico'!AC29&gt;0, 1,0)</f>
        <v>0</v>
      </c>
      <c r="AD29" s="176">
        <f>IF('Balance Volumetrico'!AD29&gt;0, 1,0)</f>
        <v>0</v>
      </c>
      <c r="AE29" s="176">
        <f>IF('Balance Volumetrico'!AE29&gt;0, 1,0)</f>
        <v>0</v>
      </c>
      <c r="AF29" s="176">
        <f>IF('Balance Volumetrico'!AF29&gt;0, 1,0)</f>
        <v>0</v>
      </c>
      <c r="AG29" s="176">
        <f>IF('Balance Volumetrico'!AG29&gt;0, 1,0)</f>
        <v>0</v>
      </c>
      <c r="AH29" s="176">
        <f>IF('Balance Volumetrico'!AH29&gt;0, 1,0)</f>
        <v>0</v>
      </c>
      <c r="AI29" s="176">
        <f>IF('Balance Volumetrico'!AI29&gt;0, 1,0)</f>
        <v>0</v>
      </c>
      <c r="AJ29" s="176">
        <f>IF('Balance Volumetrico'!AJ29&gt;0, 1,0)</f>
        <v>0</v>
      </c>
      <c r="AK29" s="176">
        <f t="shared" si="0"/>
        <v>19</v>
      </c>
    </row>
    <row r="30" spans="1:37" s="169" customFormat="1" x14ac:dyDescent="0.2">
      <c r="A30" s="294">
        <f>'Balance Volumetrico'!A30</f>
        <v>20130320</v>
      </c>
      <c r="B30" s="176">
        <f>IF('Balance Volumetrico'!B30&gt;0, 1,0)</f>
        <v>0</v>
      </c>
      <c r="C30" s="176">
        <f>IF('Balance Volumetrico'!C30&gt;0, 1,0)</f>
        <v>1</v>
      </c>
      <c r="D30" s="176">
        <f>IF('Balance Volumetrico'!D30&gt;0, 1,0)</f>
        <v>1</v>
      </c>
      <c r="E30" s="176">
        <f>IF('Balance Volumetrico'!E30&gt;0, 1,0)</f>
        <v>1</v>
      </c>
      <c r="F30" s="176">
        <f>IF('Balance Volumetrico'!F30&gt;0, 1,0)</f>
        <v>1</v>
      </c>
      <c r="G30" s="176">
        <f>IF('Balance Volumetrico'!G30&gt;0, 1,0)</f>
        <v>1</v>
      </c>
      <c r="H30" s="176">
        <f>IF('Balance Volumetrico'!H30&gt;0, 1,0)</f>
        <v>1</v>
      </c>
      <c r="I30" s="176">
        <f>IF('Balance Volumetrico'!I30&gt;0, 1,0)</f>
        <v>1</v>
      </c>
      <c r="J30" s="176">
        <f>IF('Balance Volumetrico'!J30&gt;0, 1,0)</f>
        <v>1</v>
      </c>
      <c r="K30" s="176">
        <f>IF('Balance Volumetrico'!K30&gt;0, 1,0)</f>
        <v>1</v>
      </c>
      <c r="L30" s="176">
        <f>IF('Balance Volumetrico'!L30&gt;0, 1,0)</f>
        <v>1</v>
      </c>
      <c r="M30" s="176">
        <f>IF('Balance Volumetrico'!M30&gt;0, 1,0)</f>
        <v>1</v>
      </c>
      <c r="N30" s="176">
        <f>IF('Balance Volumetrico'!N30&gt;0, 1,0)</f>
        <v>1</v>
      </c>
      <c r="O30" s="176">
        <f>IF('Balance Volumetrico'!O30&gt;0, 1,0)</f>
        <v>1</v>
      </c>
      <c r="P30" s="176">
        <f>IF('Balance Volumetrico'!P30&gt;0, 1,0)</f>
        <v>1</v>
      </c>
      <c r="Q30" s="176">
        <f>IF('Balance Volumetrico'!Q30&gt;0, 1,0)</f>
        <v>1</v>
      </c>
      <c r="R30" s="176">
        <f>IF('Balance Volumetrico'!R30&gt;0, 1,0)</f>
        <v>1</v>
      </c>
      <c r="S30" s="176">
        <f>IF('Balance Volumetrico'!S30&gt;0, 1,0)</f>
        <v>1</v>
      </c>
      <c r="T30" s="176">
        <f>IF('Balance Volumetrico'!T30&gt;0, 1,0)</f>
        <v>1</v>
      </c>
      <c r="U30" s="176">
        <f>IF('Balance Volumetrico'!U30&gt;0, 1,0)</f>
        <v>0</v>
      </c>
      <c r="V30" s="176">
        <f>IF('Balance Volumetrico'!V30&gt;0, 1,0)</f>
        <v>0</v>
      </c>
      <c r="W30" s="176">
        <f>IF('Balance Volumetrico'!W30&gt;0, 1,0)</f>
        <v>0</v>
      </c>
      <c r="X30" s="176">
        <f>IF('Balance Volumetrico'!X30&gt;0, 1,0)</f>
        <v>0</v>
      </c>
      <c r="Y30" s="176">
        <f>IF('Balance Volumetrico'!Y30&gt;0, 1,0)</f>
        <v>0</v>
      </c>
      <c r="Z30" s="176">
        <f>IF('Balance Volumetrico'!Z30&gt;0, 1,0)</f>
        <v>0</v>
      </c>
      <c r="AA30" s="176">
        <f>IF('Balance Volumetrico'!AA30&gt;0, 1,0)</f>
        <v>0</v>
      </c>
      <c r="AB30" s="176">
        <f>IF('Balance Volumetrico'!AB30&gt;0, 1,0)</f>
        <v>0</v>
      </c>
      <c r="AC30" s="176">
        <f>IF('Balance Volumetrico'!AC30&gt;0, 1,0)</f>
        <v>0</v>
      </c>
      <c r="AD30" s="176">
        <f>IF('Balance Volumetrico'!AD30&gt;0, 1,0)</f>
        <v>0</v>
      </c>
      <c r="AE30" s="176">
        <f>IF('Balance Volumetrico'!AE30&gt;0, 1,0)</f>
        <v>0</v>
      </c>
      <c r="AF30" s="176">
        <f>IF('Balance Volumetrico'!AF30&gt;0, 1,0)</f>
        <v>0</v>
      </c>
      <c r="AG30" s="176">
        <f>IF('Balance Volumetrico'!AG30&gt;0, 1,0)</f>
        <v>0</v>
      </c>
      <c r="AH30" s="176">
        <f>IF('Balance Volumetrico'!AH30&gt;0, 1,0)</f>
        <v>0</v>
      </c>
      <c r="AI30" s="176">
        <f>IF('Balance Volumetrico'!AI30&gt;0, 1,0)</f>
        <v>0</v>
      </c>
      <c r="AJ30" s="176">
        <f>IF('Balance Volumetrico'!AJ30&gt;0, 1,0)</f>
        <v>0</v>
      </c>
      <c r="AK30" s="176">
        <f t="shared" si="0"/>
        <v>18</v>
      </c>
    </row>
    <row r="31" spans="1:37" s="169" customFormat="1" x14ac:dyDescent="0.2">
      <c r="A31" s="294">
        <f>'Balance Volumetrico'!A31</f>
        <v>20130321</v>
      </c>
      <c r="B31" s="176">
        <f>IF('Balance Volumetrico'!B31&gt;0, 1,0)</f>
        <v>1</v>
      </c>
      <c r="C31" s="176">
        <f>IF('Balance Volumetrico'!C31&gt;0, 1,0)</f>
        <v>1</v>
      </c>
      <c r="D31" s="176">
        <f>IF('Balance Volumetrico'!D31&gt;0, 1,0)</f>
        <v>1</v>
      </c>
      <c r="E31" s="176">
        <f>IF('Balance Volumetrico'!E31&gt;0, 1,0)</f>
        <v>1</v>
      </c>
      <c r="F31" s="176">
        <f>IF('Balance Volumetrico'!F31&gt;0, 1,0)</f>
        <v>1</v>
      </c>
      <c r="G31" s="176">
        <f>IF('Balance Volumetrico'!G31&gt;0, 1,0)</f>
        <v>1</v>
      </c>
      <c r="H31" s="176">
        <f>IF('Balance Volumetrico'!H31&gt;0, 1,0)</f>
        <v>1</v>
      </c>
      <c r="I31" s="176">
        <f>IF('Balance Volumetrico'!I31&gt;0, 1,0)</f>
        <v>1</v>
      </c>
      <c r="J31" s="176">
        <f>IF('Balance Volumetrico'!J31&gt;0, 1,0)</f>
        <v>1</v>
      </c>
      <c r="K31" s="176">
        <f>IF('Balance Volumetrico'!K31&gt;0, 1,0)</f>
        <v>1</v>
      </c>
      <c r="L31" s="176">
        <f>IF('Balance Volumetrico'!L31&gt;0, 1,0)</f>
        <v>1</v>
      </c>
      <c r="M31" s="176">
        <f>IF('Balance Volumetrico'!M31&gt;0, 1,0)</f>
        <v>1</v>
      </c>
      <c r="N31" s="176">
        <f>IF('Balance Volumetrico'!N31&gt;0, 1,0)</f>
        <v>1</v>
      </c>
      <c r="O31" s="176">
        <f>IF('Balance Volumetrico'!O31&gt;0, 1,0)</f>
        <v>1</v>
      </c>
      <c r="P31" s="176">
        <f>IF('Balance Volumetrico'!P31&gt;0, 1,0)</f>
        <v>1</v>
      </c>
      <c r="Q31" s="176">
        <f>IF('Balance Volumetrico'!Q31&gt;0, 1,0)</f>
        <v>1</v>
      </c>
      <c r="R31" s="176">
        <f>IF('Balance Volumetrico'!R31&gt;0, 1,0)</f>
        <v>1</v>
      </c>
      <c r="S31" s="176">
        <f>IF('Balance Volumetrico'!S31&gt;0, 1,0)</f>
        <v>1</v>
      </c>
      <c r="T31" s="176">
        <f>IF('Balance Volumetrico'!T31&gt;0, 1,0)</f>
        <v>1</v>
      </c>
      <c r="U31" s="176">
        <f>IF('Balance Volumetrico'!U31&gt;0, 1,0)</f>
        <v>0</v>
      </c>
      <c r="V31" s="176">
        <f>IF('Balance Volumetrico'!V31&gt;0, 1,0)</f>
        <v>0</v>
      </c>
      <c r="W31" s="176">
        <f>IF('Balance Volumetrico'!W31&gt;0, 1,0)</f>
        <v>0</v>
      </c>
      <c r="X31" s="176">
        <f>IF('Balance Volumetrico'!X31&gt;0, 1,0)</f>
        <v>0</v>
      </c>
      <c r="Y31" s="176">
        <f>IF('Balance Volumetrico'!Y31&gt;0, 1,0)</f>
        <v>0</v>
      </c>
      <c r="Z31" s="176">
        <f>IF('Balance Volumetrico'!Z31&gt;0, 1,0)</f>
        <v>0</v>
      </c>
      <c r="AA31" s="176">
        <f>IF('Balance Volumetrico'!AA31&gt;0, 1,0)</f>
        <v>0</v>
      </c>
      <c r="AB31" s="176">
        <f>IF('Balance Volumetrico'!AB31&gt;0, 1,0)</f>
        <v>0</v>
      </c>
      <c r="AC31" s="176">
        <f>IF('Balance Volumetrico'!AC31&gt;0, 1,0)</f>
        <v>0</v>
      </c>
      <c r="AD31" s="176">
        <f>IF('Balance Volumetrico'!AD31&gt;0, 1,0)</f>
        <v>0</v>
      </c>
      <c r="AE31" s="176">
        <f>IF('Balance Volumetrico'!AE31&gt;0, 1,0)</f>
        <v>0</v>
      </c>
      <c r="AF31" s="176">
        <f>IF('Balance Volumetrico'!AF31&gt;0, 1,0)</f>
        <v>0</v>
      </c>
      <c r="AG31" s="176">
        <f>IF('Balance Volumetrico'!AG31&gt;0, 1,0)</f>
        <v>0</v>
      </c>
      <c r="AH31" s="176">
        <f>IF('Balance Volumetrico'!AH31&gt;0, 1,0)</f>
        <v>0</v>
      </c>
      <c r="AI31" s="176">
        <f>IF('Balance Volumetrico'!AI31&gt;0, 1,0)</f>
        <v>0</v>
      </c>
      <c r="AJ31" s="176">
        <f>IF('Balance Volumetrico'!AJ31&gt;0, 1,0)</f>
        <v>0</v>
      </c>
      <c r="AK31" s="176">
        <f t="shared" si="0"/>
        <v>19</v>
      </c>
    </row>
    <row r="32" spans="1:37" s="169" customFormat="1" x14ac:dyDescent="0.2">
      <c r="A32" s="294">
        <f>'Balance Volumetrico'!A32</f>
        <v>20130322</v>
      </c>
      <c r="B32" s="176">
        <f>IF('Balance Volumetrico'!B32&gt;0, 1,0)</f>
        <v>1</v>
      </c>
      <c r="C32" s="176">
        <f>IF('Balance Volumetrico'!C32&gt;0, 1,0)</f>
        <v>1</v>
      </c>
      <c r="D32" s="176">
        <f>IF('Balance Volumetrico'!D32&gt;0, 1,0)</f>
        <v>1</v>
      </c>
      <c r="E32" s="176">
        <f>IF('Balance Volumetrico'!E32&gt;0, 1,0)</f>
        <v>1</v>
      </c>
      <c r="F32" s="176">
        <f>IF('Balance Volumetrico'!F32&gt;0, 1,0)</f>
        <v>1</v>
      </c>
      <c r="G32" s="176">
        <f>IF('Balance Volumetrico'!G32&gt;0, 1,0)</f>
        <v>1</v>
      </c>
      <c r="H32" s="176">
        <f>IF('Balance Volumetrico'!H32&gt;0, 1,0)</f>
        <v>1</v>
      </c>
      <c r="I32" s="176">
        <f>IF('Balance Volumetrico'!I32&gt;0, 1,0)</f>
        <v>1</v>
      </c>
      <c r="J32" s="176">
        <f>IF('Balance Volumetrico'!J32&gt;0, 1,0)</f>
        <v>1</v>
      </c>
      <c r="K32" s="176">
        <f>IF('Balance Volumetrico'!K32&gt;0, 1,0)</f>
        <v>1</v>
      </c>
      <c r="L32" s="176">
        <f>IF('Balance Volumetrico'!L32&gt;0, 1,0)</f>
        <v>1</v>
      </c>
      <c r="M32" s="176">
        <f>IF('Balance Volumetrico'!M32&gt;0, 1,0)</f>
        <v>1</v>
      </c>
      <c r="N32" s="176">
        <f>IF('Balance Volumetrico'!N32&gt;0, 1,0)</f>
        <v>1</v>
      </c>
      <c r="O32" s="176">
        <f>IF('Balance Volumetrico'!O32&gt;0, 1,0)</f>
        <v>1</v>
      </c>
      <c r="P32" s="176">
        <f>IF('Balance Volumetrico'!P32&gt;0, 1,0)</f>
        <v>1</v>
      </c>
      <c r="Q32" s="176">
        <f>IF('Balance Volumetrico'!Q32&gt;0, 1,0)</f>
        <v>1</v>
      </c>
      <c r="R32" s="176">
        <f>IF('Balance Volumetrico'!R32&gt;0, 1,0)</f>
        <v>1</v>
      </c>
      <c r="S32" s="176">
        <f>IF('Balance Volumetrico'!S32&gt;0, 1,0)</f>
        <v>1</v>
      </c>
      <c r="T32" s="176">
        <f>IF('Balance Volumetrico'!T32&gt;0, 1,0)</f>
        <v>1</v>
      </c>
      <c r="U32" s="176">
        <f>IF('Balance Volumetrico'!U32&gt;0, 1,0)</f>
        <v>0</v>
      </c>
      <c r="V32" s="176">
        <f>IF('Balance Volumetrico'!V32&gt;0, 1,0)</f>
        <v>0</v>
      </c>
      <c r="W32" s="176">
        <f>IF('Balance Volumetrico'!W32&gt;0, 1,0)</f>
        <v>0</v>
      </c>
      <c r="X32" s="176">
        <f>IF('Balance Volumetrico'!X32&gt;0, 1,0)</f>
        <v>0</v>
      </c>
      <c r="Y32" s="176">
        <f>IF('Balance Volumetrico'!Y32&gt;0, 1,0)</f>
        <v>0</v>
      </c>
      <c r="Z32" s="176">
        <f>IF('Balance Volumetrico'!Z32&gt;0, 1,0)</f>
        <v>0</v>
      </c>
      <c r="AA32" s="176">
        <f>IF('Balance Volumetrico'!AA32&gt;0, 1,0)</f>
        <v>0</v>
      </c>
      <c r="AB32" s="176">
        <f>IF('Balance Volumetrico'!AB32&gt;0, 1,0)</f>
        <v>0</v>
      </c>
      <c r="AC32" s="176">
        <f>IF('Balance Volumetrico'!AC32&gt;0, 1,0)</f>
        <v>0</v>
      </c>
      <c r="AD32" s="176">
        <f>IF('Balance Volumetrico'!AD32&gt;0, 1,0)</f>
        <v>0</v>
      </c>
      <c r="AE32" s="176">
        <f>IF('Balance Volumetrico'!AE32&gt;0, 1,0)</f>
        <v>0</v>
      </c>
      <c r="AF32" s="176">
        <f>IF('Balance Volumetrico'!AF32&gt;0, 1,0)</f>
        <v>0</v>
      </c>
      <c r="AG32" s="176">
        <f>IF('Balance Volumetrico'!AG32&gt;0, 1,0)</f>
        <v>0</v>
      </c>
      <c r="AH32" s="176">
        <f>IF('Balance Volumetrico'!AH32&gt;0, 1,0)</f>
        <v>0</v>
      </c>
      <c r="AI32" s="176">
        <f>IF('Balance Volumetrico'!AI32&gt;0, 1,0)</f>
        <v>0</v>
      </c>
      <c r="AJ32" s="176">
        <f>IF('Balance Volumetrico'!AJ32&gt;0, 1,0)</f>
        <v>0</v>
      </c>
      <c r="AK32" s="176">
        <f t="shared" si="0"/>
        <v>19</v>
      </c>
    </row>
    <row r="33" spans="1:37" s="169" customFormat="1" x14ac:dyDescent="0.2">
      <c r="A33" s="294">
        <f>'Balance Volumetrico'!A33</f>
        <v>20130323</v>
      </c>
      <c r="B33" s="176">
        <f>IF('Balance Volumetrico'!B33&gt;0, 1,0)</f>
        <v>0</v>
      </c>
      <c r="C33" s="176">
        <f>IF('Balance Volumetrico'!C33&gt;0, 1,0)</f>
        <v>1</v>
      </c>
      <c r="D33" s="176">
        <f>IF('Balance Volumetrico'!D33&gt;0, 1,0)</f>
        <v>1</v>
      </c>
      <c r="E33" s="176">
        <f>IF('Balance Volumetrico'!E33&gt;0, 1,0)</f>
        <v>1</v>
      </c>
      <c r="F33" s="176">
        <f>IF('Balance Volumetrico'!F33&gt;0, 1,0)</f>
        <v>1</v>
      </c>
      <c r="G33" s="176">
        <f>IF('Balance Volumetrico'!G33&gt;0, 1,0)</f>
        <v>1</v>
      </c>
      <c r="H33" s="176">
        <f>IF('Balance Volumetrico'!H33&gt;0, 1,0)</f>
        <v>1</v>
      </c>
      <c r="I33" s="176">
        <f>IF('Balance Volumetrico'!I33&gt;0, 1,0)</f>
        <v>1</v>
      </c>
      <c r="J33" s="176">
        <f>IF('Balance Volumetrico'!J33&gt;0, 1,0)</f>
        <v>1</v>
      </c>
      <c r="K33" s="176">
        <f>IF('Balance Volumetrico'!K33&gt;0, 1,0)</f>
        <v>1</v>
      </c>
      <c r="L33" s="176">
        <f>IF('Balance Volumetrico'!L33&gt;0, 1,0)</f>
        <v>1</v>
      </c>
      <c r="M33" s="176">
        <f>IF('Balance Volumetrico'!M33&gt;0, 1,0)</f>
        <v>1</v>
      </c>
      <c r="N33" s="176">
        <f>IF('Balance Volumetrico'!N33&gt;0, 1,0)</f>
        <v>1</v>
      </c>
      <c r="O33" s="176">
        <f>IF('Balance Volumetrico'!O33&gt;0, 1,0)</f>
        <v>1</v>
      </c>
      <c r="P33" s="176">
        <f>IF('Balance Volumetrico'!P33&gt;0, 1,0)</f>
        <v>1</v>
      </c>
      <c r="Q33" s="176">
        <f>IF('Balance Volumetrico'!Q33&gt;0, 1,0)</f>
        <v>1</v>
      </c>
      <c r="R33" s="176">
        <f>IF('Balance Volumetrico'!R33&gt;0, 1,0)</f>
        <v>1</v>
      </c>
      <c r="S33" s="176">
        <f>IF('Balance Volumetrico'!S33&gt;0, 1,0)</f>
        <v>1</v>
      </c>
      <c r="T33" s="176">
        <f>IF('Balance Volumetrico'!T33&gt;0, 1,0)</f>
        <v>1</v>
      </c>
      <c r="U33" s="176">
        <f>IF('Balance Volumetrico'!U33&gt;0, 1,0)</f>
        <v>0</v>
      </c>
      <c r="V33" s="176">
        <f>IF('Balance Volumetrico'!V33&gt;0, 1,0)</f>
        <v>0</v>
      </c>
      <c r="W33" s="176">
        <f>IF('Balance Volumetrico'!W33&gt;0, 1,0)</f>
        <v>0</v>
      </c>
      <c r="X33" s="176">
        <f>IF('Balance Volumetrico'!X33&gt;0, 1,0)</f>
        <v>0</v>
      </c>
      <c r="Y33" s="176">
        <f>IF('Balance Volumetrico'!Y33&gt;0, 1,0)</f>
        <v>0</v>
      </c>
      <c r="Z33" s="176">
        <f>IF('Balance Volumetrico'!Z33&gt;0, 1,0)</f>
        <v>0</v>
      </c>
      <c r="AA33" s="176">
        <f>IF('Balance Volumetrico'!AA33&gt;0, 1,0)</f>
        <v>0</v>
      </c>
      <c r="AB33" s="176">
        <f>IF('Balance Volumetrico'!AB33&gt;0, 1,0)</f>
        <v>0</v>
      </c>
      <c r="AC33" s="176">
        <f>IF('Balance Volumetrico'!AC33&gt;0, 1,0)</f>
        <v>0</v>
      </c>
      <c r="AD33" s="176">
        <f>IF('Balance Volumetrico'!AD33&gt;0, 1,0)</f>
        <v>0</v>
      </c>
      <c r="AE33" s="176">
        <f>IF('Balance Volumetrico'!AE33&gt;0, 1,0)</f>
        <v>0</v>
      </c>
      <c r="AF33" s="176">
        <f>IF('Balance Volumetrico'!AF33&gt;0, 1,0)</f>
        <v>0</v>
      </c>
      <c r="AG33" s="176">
        <f>IF('Balance Volumetrico'!AG33&gt;0, 1,0)</f>
        <v>0</v>
      </c>
      <c r="AH33" s="176">
        <f>IF('Balance Volumetrico'!AH33&gt;0, 1,0)</f>
        <v>0</v>
      </c>
      <c r="AI33" s="176">
        <f>IF('Balance Volumetrico'!AI33&gt;0, 1,0)</f>
        <v>0</v>
      </c>
      <c r="AJ33" s="176">
        <f>IF('Balance Volumetrico'!AJ33&gt;0, 1,0)</f>
        <v>0</v>
      </c>
      <c r="AK33" s="176">
        <f t="shared" si="0"/>
        <v>18</v>
      </c>
    </row>
    <row r="34" spans="1:37" s="169" customFormat="1" x14ac:dyDescent="0.2">
      <c r="A34" s="294">
        <f>'Balance Volumetrico'!A34</f>
        <v>20130324</v>
      </c>
      <c r="B34" s="176">
        <f>IF('Balance Volumetrico'!B34&gt;0, 1,0)</f>
        <v>0</v>
      </c>
      <c r="C34" s="176">
        <f>IF('Balance Volumetrico'!C34&gt;0, 1,0)</f>
        <v>1</v>
      </c>
      <c r="D34" s="176">
        <f>IF('Balance Volumetrico'!D34&gt;0, 1,0)</f>
        <v>1</v>
      </c>
      <c r="E34" s="176">
        <f>IF('Balance Volumetrico'!E34&gt;0, 1,0)</f>
        <v>1</v>
      </c>
      <c r="F34" s="176">
        <f>IF('Balance Volumetrico'!F34&gt;0, 1,0)</f>
        <v>1</v>
      </c>
      <c r="G34" s="176">
        <f>IF('Balance Volumetrico'!G34&gt;0, 1,0)</f>
        <v>1</v>
      </c>
      <c r="H34" s="176">
        <f>IF('Balance Volumetrico'!H34&gt;0, 1,0)</f>
        <v>1</v>
      </c>
      <c r="I34" s="176">
        <f>IF('Balance Volumetrico'!I34&gt;0, 1,0)</f>
        <v>1</v>
      </c>
      <c r="J34" s="176">
        <f>IF('Balance Volumetrico'!J34&gt;0, 1,0)</f>
        <v>0</v>
      </c>
      <c r="K34" s="176">
        <f>IF('Balance Volumetrico'!K34&gt;0, 1,0)</f>
        <v>1</v>
      </c>
      <c r="L34" s="176">
        <f>IF('Balance Volumetrico'!L34&gt;0, 1,0)</f>
        <v>1</v>
      </c>
      <c r="M34" s="176">
        <f>IF('Balance Volumetrico'!M34&gt;0, 1,0)</f>
        <v>1</v>
      </c>
      <c r="N34" s="176">
        <f>IF('Balance Volumetrico'!N34&gt;0, 1,0)</f>
        <v>1</v>
      </c>
      <c r="O34" s="176">
        <f>IF('Balance Volumetrico'!O34&gt;0, 1,0)</f>
        <v>1</v>
      </c>
      <c r="P34" s="176">
        <f>IF('Balance Volumetrico'!P34&gt;0, 1,0)</f>
        <v>1</v>
      </c>
      <c r="Q34" s="176">
        <f>IF('Balance Volumetrico'!Q34&gt;0, 1,0)</f>
        <v>1</v>
      </c>
      <c r="R34" s="176">
        <f>IF('Balance Volumetrico'!R34&gt;0, 1,0)</f>
        <v>1</v>
      </c>
      <c r="S34" s="176">
        <f>IF('Balance Volumetrico'!S34&gt;0, 1,0)</f>
        <v>1</v>
      </c>
      <c r="T34" s="176">
        <f>IF('Balance Volumetrico'!T34&gt;0, 1,0)</f>
        <v>1</v>
      </c>
      <c r="U34" s="176">
        <f>IF('Balance Volumetrico'!U34&gt;0, 1,0)</f>
        <v>0</v>
      </c>
      <c r="V34" s="176">
        <f>IF('Balance Volumetrico'!V34&gt;0, 1,0)</f>
        <v>0</v>
      </c>
      <c r="W34" s="176">
        <f>IF('Balance Volumetrico'!W34&gt;0, 1,0)</f>
        <v>0</v>
      </c>
      <c r="X34" s="176">
        <f>IF('Balance Volumetrico'!X34&gt;0, 1,0)</f>
        <v>0</v>
      </c>
      <c r="Y34" s="176">
        <f>IF('Balance Volumetrico'!Y34&gt;0, 1,0)</f>
        <v>0</v>
      </c>
      <c r="Z34" s="176">
        <f>IF('Balance Volumetrico'!Z34&gt;0, 1,0)</f>
        <v>0</v>
      </c>
      <c r="AA34" s="176">
        <f>IF('Balance Volumetrico'!AA34&gt;0, 1,0)</f>
        <v>0</v>
      </c>
      <c r="AB34" s="176">
        <f>IF('Balance Volumetrico'!AB34&gt;0, 1,0)</f>
        <v>0</v>
      </c>
      <c r="AC34" s="176">
        <f>IF('Balance Volumetrico'!AC34&gt;0, 1,0)</f>
        <v>0</v>
      </c>
      <c r="AD34" s="176">
        <f>IF('Balance Volumetrico'!AD34&gt;0, 1,0)</f>
        <v>0</v>
      </c>
      <c r="AE34" s="176">
        <f>IF('Balance Volumetrico'!AE34&gt;0, 1,0)</f>
        <v>0</v>
      </c>
      <c r="AF34" s="176">
        <f>IF('Balance Volumetrico'!AF34&gt;0, 1,0)</f>
        <v>0</v>
      </c>
      <c r="AG34" s="176">
        <f>IF('Balance Volumetrico'!AG34&gt;0, 1,0)</f>
        <v>0</v>
      </c>
      <c r="AH34" s="176">
        <f>IF('Balance Volumetrico'!AH34&gt;0, 1,0)</f>
        <v>0</v>
      </c>
      <c r="AI34" s="176">
        <f>IF('Balance Volumetrico'!AI34&gt;0, 1,0)</f>
        <v>0</v>
      </c>
      <c r="AJ34" s="176">
        <f>IF('Balance Volumetrico'!AJ34&gt;0, 1,0)</f>
        <v>0</v>
      </c>
      <c r="AK34" s="176">
        <f t="shared" si="0"/>
        <v>17</v>
      </c>
    </row>
    <row r="35" spans="1:37" s="169" customFormat="1" x14ac:dyDescent="0.2">
      <c r="A35" s="294">
        <f>'Balance Volumetrico'!A35</f>
        <v>20130325</v>
      </c>
      <c r="B35" s="176">
        <f>IF('Balance Volumetrico'!B35&gt;0, 1,0)</f>
        <v>0</v>
      </c>
      <c r="C35" s="176">
        <f>IF('Balance Volumetrico'!C35&gt;0, 1,0)</f>
        <v>1</v>
      </c>
      <c r="D35" s="176">
        <f>IF('Balance Volumetrico'!D35&gt;0, 1,0)</f>
        <v>1</v>
      </c>
      <c r="E35" s="176">
        <f>IF('Balance Volumetrico'!E35&gt;0, 1,0)</f>
        <v>1</v>
      </c>
      <c r="F35" s="176">
        <f>IF('Balance Volumetrico'!F35&gt;0, 1,0)</f>
        <v>1</v>
      </c>
      <c r="G35" s="176">
        <f>IF('Balance Volumetrico'!G35&gt;0, 1,0)</f>
        <v>1</v>
      </c>
      <c r="H35" s="176">
        <f>IF('Balance Volumetrico'!H35&gt;0, 1,0)</f>
        <v>1</v>
      </c>
      <c r="I35" s="176">
        <f>IF('Balance Volumetrico'!I35&gt;0, 1,0)</f>
        <v>1</v>
      </c>
      <c r="J35" s="176">
        <f>IF('Balance Volumetrico'!J35&gt;0, 1,0)</f>
        <v>1</v>
      </c>
      <c r="K35" s="176">
        <f>IF('Balance Volumetrico'!K35&gt;0, 1,0)</f>
        <v>1</v>
      </c>
      <c r="L35" s="176">
        <f>IF('Balance Volumetrico'!L35&gt;0, 1,0)</f>
        <v>1</v>
      </c>
      <c r="M35" s="176">
        <f>IF('Balance Volumetrico'!M35&gt;0, 1,0)</f>
        <v>1</v>
      </c>
      <c r="N35" s="176">
        <f>IF('Balance Volumetrico'!N35&gt;0, 1,0)</f>
        <v>1</v>
      </c>
      <c r="O35" s="176">
        <f>IF('Balance Volumetrico'!O35&gt;0, 1,0)</f>
        <v>1</v>
      </c>
      <c r="P35" s="176">
        <f>IF('Balance Volumetrico'!P35&gt;0, 1,0)</f>
        <v>1</v>
      </c>
      <c r="Q35" s="176">
        <f>IF('Balance Volumetrico'!Q35&gt;0, 1,0)</f>
        <v>1</v>
      </c>
      <c r="R35" s="176">
        <f>IF('Balance Volumetrico'!R35&gt;0, 1,0)</f>
        <v>1</v>
      </c>
      <c r="S35" s="176">
        <f>IF('Balance Volumetrico'!S35&gt;0, 1,0)</f>
        <v>1</v>
      </c>
      <c r="T35" s="176">
        <f>IF('Balance Volumetrico'!T35&gt;0, 1,0)</f>
        <v>1</v>
      </c>
      <c r="U35" s="176">
        <f>IF('Balance Volumetrico'!U35&gt;0, 1,0)</f>
        <v>0</v>
      </c>
      <c r="V35" s="176">
        <f>IF('Balance Volumetrico'!V35&gt;0, 1,0)</f>
        <v>0</v>
      </c>
      <c r="W35" s="176">
        <f>IF('Balance Volumetrico'!W35&gt;0, 1,0)</f>
        <v>0</v>
      </c>
      <c r="X35" s="176">
        <f>IF('Balance Volumetrico'!X35&gt;0, 1,0)</f>
        <v>0</v>
      </c>
      <c r="Y35" s="176">
        <f>IF('Balance Volumetrico'!Y35&gt;0, 1,0)</f>
        <v>0</v>
      </c>
      <c r="Z35" s="176">
        <f>IF('Balance Volumetrico'!Z35&gt;0, 1,0)</f>
        <v>0</v>
      </c>
      <c r="AA35" s="176">
        <f>IF('Balance Volumetrico'!AA35&gt;0, 1,0)</f>
        <v>0</v>
      </c>
      <c r="AB35" s="176">
        <f>IF('Balance Volumetrico'!AB35&gt;0, 1,0)</f>
        <v>0</v>
      </c>
      <c r="AC35" s="176">
        <f>IF('Balance Volumetrico'!AC35&gt;0, 1,0)</f>
        <v>0</v>
      </c>
      <c r="AD35" s="176">
        <f>IF('Balance Volumetrico'!AD35&gt;0, 1,0)</f>
        <v>0</v>
      </c>
      <c r="AE35" s="176">
        <f>IF('Balance Volumetrico'!AE35&gt;0, 1,0)</f>
        <v>0</v>
      </c>
      <c r="AF35" s="176">
        <f>IF('Balance Volumetrico'!AF35&gt;0, 1,0)</f>
        <v>0</v>
      </c>
      <c r="AG35" s="176">
        <f>IF('Balance Volumetrico'!AG35&gt;0, 1,0)</f>
        <v>0</v>
      </c>
      <c r="AH35" s="176">
        <f>IF('Balance Volumetrico'!AH35&gt;0, 1,0)</f>
        <v>0</v>
      </c>
      <c r="AI35" s="176">
        <f>IF('Balance Volumetrico'!AI35&gt;0, 1,0)</f>
        <v>0</v>
      </c>
      <c r="AJ35" s="176">
        <f>IF('Balance Volumetrico'!AJ35&gt;0, 1,0)</f>
        <v>0</v>
      </c>
      <c r="AK35" s="176">
        <f t="shared" si="0"/>
        <v>18</v>
      </c>
    </row>
    <row r="36" spans="1:37" s="169" customFormat="1" x14ac:dyDescent="0.2">
      <c r="A36" s="294">
        <f>'Balance Volumetrico'!A36</f>
        <v>20130326</v>
      </c>
      <c r="B36" s="176">
        <f>IF('Balance Volumetrico'!B36&gt;0, 1,0)</f>
        <v>1</v>
      </c>
      <c r="C36" s="176">
        <f>IF('Balance Volumetrico'!C36&gt;0, 1,0)</f>
        <v>1</v>
      </c>
      <c r="D36" s="176">
        <f>IF('Balance Volumetrico'!D36&gt;0, 1,0)</f>
        <v>1</v>
      </c>
      <c r="E36" s="176">
        <f>IF('Balance Volumetrico'!E36&gt;0, 1,0)</f>
        <v>1</v>
      </c>
      <c r="F36" s="176">
        <f>IF('Balance Volumetrico'!F36&gt;0, 1,0)</f>
        <v>1</v>
      </c>
      <c r="G36" s="176">
        <f>IF('Balance Volumetrico'!G36&gt;0, 1,0)</f>
        <v>1</v>
      </c>
      <c r="H36" s="176">
        <f>IF('Balance Volumetrico'!H36&gt;0, 1,0)</f>
        <v>1</v>
      </c>
      <c r="I36" s="176">
        <f>IF('Balance Volumetrico'!I36&gt;0, 1,0)</f>
        <v>1</v>
      </c>
      <c r="J36" s="176">
        <f>IF('Balance Volumetrico'!J36&gt;0, 1,0)</f>
        <v>1</v>
      </c>
      <c r="K36" s="176">
        <f>IF('Balance Volumetrico'!K36&gt;0, 1,0)</f>
        <v>1</v>
      </c>
      <c r="L36" s="176">
        <f>IF('Balance Volumetrico'!L36&gt;0, 1,0)</f>
        <v>1</v>
      </c>
      <c r="M36" s="176">
        <f>IF('Balance Volumetrico'!M36&gt;0, 1,0)</f>
        <v>1</v>
      </c>
      <c r="N36" s="176">
        <f>IF('Balance Volumetrico'!N36&gt;0, 1,0)</f>
        <v>1</v>
      </c>
      <c r="O36" s="176">
        <f>IF('Balance Volumetrico'!O36&gt;0, 1,0)</f>
        <v>1</v>
      </c>
      <c r="P36" s="176">
        <f>IF('Balance Volumetrico'!P36&gt;0, 1,0)</f>
        <v>1</v>
      </c>
      <c r="Q36" s="176">
        <f>IF('Balance Volumetrico'!Q36&gt;0, 1,0)</f>
        <v>1</v>
      </c>
      <c r="R36" s="176">
        <f>IF('Balance Volumetrico'!R36&gt;0, 1,0)</f>
        <v>1</v>
      </c>
      <c r="S36" s="176">
        <f>IF('Balance Volumetrico'!S36&gt;0, 1,0)</f>
        <v>1</v>
      </c>
      <c r="T36" s="176">
        <f>IF('Balance Volumetrico'!T36&gt;0, 1,0)</f>
        <v>1</v>
      </c>
      <c r="U36" s="176">
        <f>IF('Balance Volumetrico'!U36&gt;0, 1,0)</f>
        <v>0</v>
      </c>
      <c r="V36" s="176">
        <f>IF('Balance Volumetrico'!V36&gt;0, 1,0)</f>
        <v>0</v>
      </c>
      <c r="W36" s="176">
        <f>IF('Balance Volumetrico'!W36&gt;0, 1,0)</f>
        <v>0</v>
      </c>
      <c r="X36" s="176">
        <f>IF('Balance Volumetrico'!X36&gt;0, 1,0)</f>
        <v>0</v>
      </c>
      <c r="Y36" s="176">
        <f>IF('Balance Volumetrico'!Y36&gt;0, 1,0)</f>
        <v>0</v>
      </c>
      <c r="Z36" s="176">
        <f>IF('Balance Volumetrico'!Z36&gt;0, 1,0)</f>
        <v>0</v>
      </c>
      <c r="AA36" s="176">
        <f>IF('Balance Volumetrico'!AA36&gt;0, 1,0)</f>
        <v>0</v>
      </c>
      <c r="AB36" s="176">
        <f>IF('Balance Volumetrico'!AB36&gt;0, 1,0)</f>
        <v>0</v>
      </c>
      <c r="AC36" s="176">
        <f>IF('Balance Volumetrico'!AC36&gt;0, 1,0)</f>
        <v>0</v>
      </c>
      <c r="AD36" s="176">
        <f>IF('Balance Volumetrico'!AD36&gt;0, 1,0)</f>
        <v>0</v>
      </c>
      <c r="AE36" s="176">
        <f>IF('Balance Volumetrico'!AE36&gt;0, 1,0)</f>
        <v>0</v>
      </c>
      <c r="AF36" s="176">
        <f>IF('Balance Volumetrico'!AF36&gt;0, 1,0)</f>
        <v>0</v>
      </c>
      <c r="AG36" s="176">
        <f>IF('Balance Volumetrico'!AG36&gt;0, 1,0)</f>
        <v>0</v>
      </c>
      <c r="AH36" s="176">
        <f>IF('Balance Volumetrico'!AH36&gt;0, 1,0)</f>
        <v>0</v>
      </c>
      <c r="AI36" s="176">
        <f>IF('Balance Volumetrico'!AI36&gt;0, 1,0)</f>
        <v>0</v>
      </c>
      <c r="AJ36" s="176">
        <f>IF('Balance Volumetrico'!AJ36&gt;0, 1,0)</f>
        <v>0</v>
      </c>
      <c r="AK36" s="176">
        <f t="shared" si="0"/>
        <v>19</v>
      </c>
    </row>
    <row r="37" spans="1:37" s="169" customFormat="1" x14ac:dyDescent="0.2">
      <c r="A37" s="294">
        <f>'Balance Volumetrico'!A37</f>
        <v>20130327</v>
      </c>
      <c r="B37" s="176">
        <f>IF('Balance Volumetrico'!B37&gt;0, 1,0)</f>
        <v>1</v>
      </c>
      <c r="C37" s="176">
        <f>IF('Balance Volumetrico'!C37&gt;0, 1,0)</f>
        <v>1</v>
      </c>
      <c r="D37" s="176">
        <f>IF('Balance Volumetrico'!D37&gt;0, 1,0)</f>
        <v>1</v>
      </c>
      <c r="E37" s="176">
        <f>IF('Balance Volumetrico'!E37&gt;0, 1,0)</f>
        <v>1</v>
      </c>
      <c r="F37" s="176">
        <f>IF('Balance Volumetrico'!F37&gt;0, 1,0)</f>
        <v>1</v>
      </c>
      <c r="G37" s="176">
        <f>IF('Balance Volumetrico'!G37&gt;0, 1,0)</f>
        <v>1</v>
      </c>
      <c r="H37" s="176">
        <f>IF('Balance Volumetrico'!H37&gt;0, 1,0)</f>
        <v>1</v>
      </c>
      <c r="I37" s="176">
        <f>IF('Balance Volumetrico'!I37&gt;0, 1,0)</f>
        <v>1</v>
      </c>
      <c r="J37" s="176">
        <f>IF('Balance Volumetrico'!J37&gt;0, 1,0)</f>
        <v>0</v>
      </c>
      <c r="K37" s="176">
        <f>IF('Balance Volumetrico'!K37&gt;0, 1,0)</f>
        <v>1</v>
      </c>
      <c r="L37" s="176">
        <f>IF('Balance Volumetrico'!L37&gt;0, 1,0)</f>
        <v>1</v>
      </c>
      <c r="M37" s="176">
        <f>IF('Balance Volumetrico'!M37&gt;0, 1,0)</f>
        <v>1</v>
      </c>
      <c r="N37" s="176">
        <f>IF('Balance Volumetrico'!N37&gt;0, 1,0)</f>
        <v>1</v>
      </c>
      <c r="O37" s="176">
        <f>IF('Balance Volumetrico'!O37&gt;0, 1,0)</f>
        <v>1</v>
      </c>
      <c r="P37" s="176">
        <f>IF('Balance Volumetrico'!P37&gt;0, 1,0)</f>
        <v>1</v>
      </c>
      <c r="Q37" s="176">
        <f>IF('Balance Volumetrico'!Q37&gt;0, 1,0)</f>
        <v>1</v>
      </c>
      <c r="R37" s="176">
        <f>IF('Balance Volumetrico'!R37&gt;0, 1,0)</f>
        <v>1</v>
      </c>
      <c r="S37" s="176">
        <f>IF('Balance Volumetrico'!S37&gt;0, 1,0)</f>
        <v>1</v>
      </c>
      <c r="T37" s="176">
        <f>IF('Balance Volumetrico'!T37&gt;0, 1,0)</f>
        <v>1</v>
      </c>
      <c r="U37" s="176">
        <f>IF('Balance Volumetrico'!U37&gt;0, 1,0)</f>
        <v>0</v>
      </c>
      <c r="V37" s="176">
        <f>IF('Balance Volumetrico'!V37&gt;0, 1,0)</f>
        <v>0</v>
      </c>
      <c r="W37" s="176">
        <f>IF('Balance Volumetrico'!W37&gt;0, 1,0)</f>
        <v>0</v>
      </c>
      <c r="X37" s="176">
        <f>IF('Balance Volumetrico'!X37&gt;0, 1,0)</f>
        <v>0</v>
      </c>
      <c r="Y37" s="176">
        <f>IF('Balance Volumetrico'!Y37&gt;0, 1,0)</f>
        <v>0</v>
      </c>
      <c r="Z37" s="176">
        <f>IF('Balance Volumetrico'!Z37&gt;0, 1,0)</f>
        <v>0</v>
      </c>
      <c r="AA37" s="176">
        <f>IF('Balance Volumetrico'!AA37&gt;0, 1,0)</f>
        <v>0</v>
      </c>
      <c r="AB37" s="176">
        <f>IF('Balance Volumetrico'!AB37&gt;0, 1,0)</f>
        <v>0</v>
      </c>
      <c r="AC37" s="176">
        <f>IF('Balance Volumetrico'!AC37&gt;0, 1,0)</f>
        <v>0</v>
      </c>
      <c r="AD37" s="176">
        <f>IF('Balance Volumetrico'!AD37&gt;0, 1,0)</f>
        <v>0</v>
      </c>
      <c r="AE37" s="176">
        <f>IF('Balance Volumetrico'!AE37&gt;0, 1,0)</f>
        <v>0</v>
      </c>
      <c r="AF37" s="176">
        <f>IF('Balance Volumetrico'!AF37&gt;0, 1,0)</f>
        <v>0</v>
      </c>
      <c r="AG37" s="176">
        <f>IF('Balance Volumetrico'!AG37&gt;0, 1,0)</f>
        <v>0</v>
      </c>
      <c r="AH37" s="176">
        <f>IF('Balance Volumetrico'!AH37&gt;0, 1,0)</f>
        <v>0</v>
      </c>
      <c r="AI37" s="176">
        <f>IF('Balance Volumetrico'!AI37&gt;0, 1,0)</f>
        <v>0</v>
      </c>
      <c r="AJ37" s="176">
        <f>IF('Balance Volumetrico'!AJ37&gt;0, 1,0)</f>
        <v>0</v>
      </c>
      <c r="AK37" s="176">
        <f t="shared" si="0"/>
        <v>18</v>
      </c>
    </row>
    <row r="38" spans="1:37" s="169" customFormat="1" x14ac:dyDescent="0.2">
      <c r="A38" s="294">
        <f>'Balance Volumetrico'!A38</f>
        <v>20130328</v>
      </c>
      <c r="B38" s="176">
        <f>IF('Balance Volumetrico'!B38&gt;0, 1,0)</f>
        <v>0</v>
      </c>
      <c r="C38" s="176">
        <f>IF('Balance Volumetrico'!C38&gt;0, 1,0)</f>
        <v>0</v>
      </c>
      <c r="D38" s="176">
        <f>IF('Balance Volumetrico'!D38&gt;0, 1,0)</f>
        <v>1</v>
      </c>
      <c r="E38" s="176">
        <f>IF('Balance Volumetrico'!E38&gt;0, 1,0)</f>
        <v>0</v>
      </c>
      <c r="F38" s="176">
        <f>IF('Balance Volumetrico'!F38&gt;0, 1,0)</f>
        <v>0</v>
      </c>
      <c r="G38" s="176">
        <f>IF('Balance Volumetrico'!G38&gt;0, 1,0)</f>
        <v>0</v>
      </c>
      <c r="H38" s="176">
        <f>IF('Balance Volumetrico'!H38&gt;0, 1,0)</f>
        <v>1</v>
      </c>
      <c r="I38" s="176">
        <f>IF('Balance Volumetrico'!I38&gt;0, 1,0)</f>
        <v>1</v>
      </c>
      <c r="J38" s="176">
        <f>IF('Balance Volumetrico'!J38&gt;0, 1,0)</f>
        <v>0</v>
      </c>
      <c r="K38" s="176">
        <f>IF('Balance Volumetrico'!K38&gt;0, 1,0)</f>
        <v>1</v>
      </c>
      <c r="L38" s="176">
        <f>IF('Balance Volumetrico'!L38&gt;0, 1,0)</f>
        <v>1</v>
      </c>
      <c r="M38" s="176">
        <f>IF('Balance Volumetrico'!M38&gt;0, 1,0)</f>
        <v>0</v>
      </c>
      <c r="N38" s="176">
        <f>IF('Balance Volumetrico'!N38&gt;0, 1,0)</f>
        <v>1</v>
      </c>
      <c r="O38" s="176">
        <f>IF('Balance Volumetrico'!O38&gt;0, 1,0)</f>
        <v>0</v>
      </c>
      <c r="P38" s="176">
        <f>IF('Balance Volumetrico'!P38&gt;0, 1,0)</f>
        <v>0</v>
      </c>
      <c r="Q38" s="176">
        <f>IF('Balance Volumetrico'!Q38&gt;0, 1,0)</f>
        <v>1</v>
      </c>
      <c r="R38" s="176">
        <f>IF('Balance Volumetrico'!R38&gt;0, 1,0)</f>
        <v>0</v>
      </c>
      <c r="S38" s="176">
        <f>IF('Balance Volumetrico'!S38&gt;0, 1,0)</f>
        <v>1</v>
      </c>
      <c r="T38" s="176">
        <f>IF('Balance Volumetrico'!T38&gt;0, 1,0)</f>
        <v>0</v>
      </c>
      <c r="U38" s="176">
        <f>IF('Balance Volumetrico'!U38&gt;0, 1,0)</f>
        <v>0</v>
      </c>
      <c r="V38" s="176">
        <f>IF('Balance Volumetrico'!V38&gt;0, 1,0)</f>
        <v>0</v>
      </c>
      <c r="W38" s="176">
        <f>IF('Balance Volumetrico'!W38&gt;0, 1,0)</f>
        <v>0</v>
      </c>
      <c r="X38" s="176">
        <f>IF('Balance Volumetrico'!X38&gt;0, 1,0)</f>
        <v>0</v>
      </c>
      <c r="Y38" s="176">
        <f>IF('Balance Volumetrico'!Y38&gt;0, 1,0)</f>
        <v>0</v>
      </c>
      <c r="Z38" s="176">
        <f>IF('Balance Volumetrico'!Z38&gt;0, 1,0)</f>
        <v>0</v>
      </c>
      <c r="AA38" s="176">
        <f>IF('Balance Volumetrico'!AA38&gt;0, 1,0)</f>
        <v>0</v>
      </c>
      <c r="AB38" s="176">
        <f>IF('Balance Volumetrico'!AB38&gt;0, 1,0)</f>
        <v>0</v>
      </c>
      <c r="AC38" s="176">
        <f>IF('Balance Volumetrico'!AC38&gt;0, 1,0)</f>
        <v>0</v>
      </c>
      <c r="AD38" s="176">
        <f>IF('Balance Volumetrico'!AD38&gt;0, 1,0)</f>
        <v>0</v>
      </c>
      <c r="AE38" s="176">
        <f>IF('Balance Volumetrico'!AE38&gt;0, 1,0)</f>
        <v>0</v>
      </c>
      <c r="AF38" s="176">
        <f>IF('Balance Volumetrico'!AF38&gt;0, 1,0)</f>
        <v>0</v>
      </c>
      <c r="AG38" s="176">
        <f>IF('Balance Volumetrico'!AG38&gt;0, 1,0)</f>
        <v>0</v>
      </c>
      <c r="AH38" s="176">
        <f>IF('Balance Volumetrico'!AH38&gt;0, 1,0)</f>
        <v>0</v>
      </c>
      <c r="AI38" s="176">
        <f>IF('Balance Volumetrico'!AI38&gt;0, 1,0)</f>
        <v>0</v>
      </c>
      <c r="AJ38" s="176">
        <f>IF('Balance Volumetrico'!AJ38&gt;0, 1,0)</f>
        <v>0</v>
      </c>
      <c r="AK38" s="176">
        <f t="shared" si="0"/>
        <v>8</v>
      </c>
    </row>
    <row r="39" spans="1:37" s="169" customFormat="1" x14ac:dyDescent="0.2">
      <c r="A39" s="294">
        <f>'Balance Volumetrico'!A39</f>
        <v>20130329</v>
      </c>
      <c r="B39" s="176">
        <f>IF('Balance Volumetrico'!B39&gt;0, 1,0)</f>
        <v>0</v>
      </c>
      <c r="C39" s="176">
        <f>IF('Balance Volumetrico'!C39&gt;0, 1,0)</f>
        <v>0</v>
      </c>
      <c r="D39" s="176">
        <f>IF('Balance Volumetrico'!D39&gt;0, 1,0)</f>
        <v>1</v>
      </c>
      <c r="E39" s="176">
        <f>IF('Balance Volumetrico'!E39&gt;0, 1,0)</f>
        <v>0</v>
      </c>
      <c r="F39" s="176">
        <f>IF('Balance Volumetrico'!F39&gt;0, 1,0)</f>
        <v>0</v>
      </c>
      <c r="G39" s="176">
        <f>IF('Balance Volumetrico'!G39&gt;0, 1,0)</f>
        <v>0</v>
      </c>
      <c r="H39" s="176">
        <f>IF('Balance Volumetrico'!H39&gt;0, 1,0)</f>
        <v>1</v>
      </c>
      <c r="I39" s="176">
        <f>IF('Balance Volumetrico'!I39&gt;0, 1,0)</f>
        <v>1</v>
      </c>
      <c r="J39" s="176">
        <f>IF('Balance Volumetrico'!J39&gt;0, 1,0)</f>
        <v>0</v>
      </c>
      <c r="K39" s="176">
        <f>IF('Balance Volumetrico'!K39&gt;0, 1,0)</f>
        <v>1</v>
      </c>
      <c r="L39" s="176">
        <f>IF('Balance Volumetrico'!L39&gt;0, 1,0)</f>
        <v>0</v>
      </c>
      <c r="M39" s="176">
        <f>IF('Balance Volumetrico'!M39&gt;0, 1,0)</f>
        <v>0</v>
      </c>
      <c r="N39" s="176">
        <f>IF('Balance Volumetrico'!N39&gt;0, 1,0)</f>
        <v>1</v>
      </c>
      <c r="O39" s="176">
        <f>IF('Balance Volumetrico'!O39&gt;0, 1,0)</f>
        <v>0</v>
      </c>
      <c r="P39" s="176">
        <f>IF('Balance Volumetrico'!P39&gt;0, 1,0)</f>
        <v>0</v>
      </c>
      <c r="Q39" s="176">
        <f>IF('Balance Volumetrico'!Q39&gt;0, 1,0)</f>
        <v>1</v>
      </c>
      <c r="R39" s="176">
        <f>IF('Balance Volumetrico'!R39&gt;0, 1,0)</f>
        <v>0</v>
      </c>
      <c r="S39" s="176">
        <f>IF('Balance Volumetrico'!S39&gt;0, 1,0)</f>
        <v>1</v>
      </c>
      <c r="T39" s="176">
        <f>IF('Balance Volumetrico'!T39&gt;0, 1,0)</f>
        <v>1</v>
      </c>
      <c r="U39" s="176">
        <f>IF('Balance Volumetrico'!U39&gt;0, 1,0)</f>
        <v>0</v>
      </c>
      <c r="V39" s="176">
        <f>IF('Balance Volumetrico'!V39&gt;0, 1,0)</f>
        <v>0</v>
      </c>
      <c r="W39" s="176">
        <f>IF('Balance Volumetrico'!W39&gt;0, 1,0)</f>
        <v>0</v>
      </c>
      <c r="X39" s="176">
        <f>IF('Balance Volumetrico'!X39&gt;0, 1,0)</f>
        <v>0</v>
      </c>
      <c r="Y39" s="176">
        <f>IF('Balance Volumetrico'!Y39&gt;0, 1,0)</f>
        <v>0</v>
      </c>
      <c r="Z39" s="176">
        <f>IF('Balance Volumetrico'!Z39&gt;0, 1,0)</f>
        <v>0</v>
      </c>
      <c r="AA39" s="176">
        <f>IF('Balance Volumetrico'!AA39&gt;0, 1,0)</f>
        <v>0</v>
      </c>
      <c r="AB39" s="176">
        <f>IF('Balance Volumetrico'!AB39&gt;0, 1,0)</f>
        <v>0</v>
      </c>
      <c r="AC39" s="176">
        <f>IF('Balance Volumetrico'!AC39&gt;0, 1,0)</f>
        <v>0</v>
      </c>
      <c r="AD39" s="176">
        <f>IF('Balance Volumetrico'!AD39&gt;0, 1,0)</f>
        <v>0</v>
      </c>
      <c r="AE39" s="176">
        <f>IF('Balance Volumetrico'!AE39&gt;0, 1,0)</f>
        <v>0</v>
      </c>
      <c r="AF39" s="176">
        <f>IF('Balance Volumetrico'!AF39&gt;0, 1,0)</f>
        <v>0</v>
      </c>
      <c r="AG39" s="176">
        <f>IF('Balance Volumetrico'!AG39&gt;0, 1,0)</f>
        <v>0</v>
      </c>
      <c r="AH39" s="176">
        <f>IF('Balance Volumetrico'!AH39&gt;0, 1,0)</f>
        <v>0</v>
      </c>
      <c r="AI39" s="176">
        <f>IF('Balance Volumetrico'!AI39&gt;0, 1,0)</f>
        <v>0</v>
      </c>
      <c r="AJ39" s="176">
        <f>IF('Balance Volumetrico'!AJ39&gt;0, 1,0)</f>
        <v>0</v>
      </c>
      <c r="AK39" s="176">
        <f t="shared" si="0"/>
        <v>8</v>
      </c>
    </row>
    <row r="40" spans="1:37" s="169" customFormat="1" x14ac:dyDescent="0.2">
      <c r="A40" s="294">
        <f>'Balance Volumetrico'!A40</f>
        <v>20130330</v>
      </c>
      <c r="B40" s="176">
        <f>IF('Balance Volumetrico'!B40&gt;0, 1,0)</f>
        <v>0</v>
      </c>
      <c r="C40" s="176">
        <f>IF('Balance Volumetrico'!C40&gt;0, 1,0)</f>
        <v>0</v>
      </c>
      <c r="D40" s="176">
        <f>IF('Balance Volumetrico'!D40&gt;0, 1,0)</f>
        <v>0</v>
      </c>
      <c r="E40" s="176">
        <f>IF('Balance Volumetrico'!E40&gt;0, 1,0)</f>
        <v>0</v>
      </c>
      <c r="F40" s="176">
        <f>IF('Balance Volumetrico'!F40&gt;0, 1,0)</f>
        <v>0</v>
      </c>
      <c r="G40" s="176">
        <f>IF('Balance Volumetrico'!G40&gt;0, 1,0)</f>
        <v>0</v>
      </c>
      <c r="H40" s="176">
        <f>IF('Balance Volumetrico'!H40&gt;0, 1,0)</f>
        <v>1</v>
      </c>
      <c r="I40" s="176">
        <f>IF('Balance Volumetrico'!I40&gt;0, 1,0)</f>
        <v>1</v>
      </c>
      <c r="J40" s="176">
        <f>IF('Balance Volumetrico'!J40&gt;0, 1,0)</f>
        <v>0</v>
      </c>
      <c r="K40" s="176">
        <f>IF('Balance Volumetrico'!K40&gt;0, 1,0)</f>
        <v>1</v>
      </c>
      <c r="L40" s="176">
        <f>IF('Balance Volumetrico'!L40&gt;0, 1,0)</f>
        <v>0</v>
      </c>
      <c r="M40" s="176">
        <f>IF('Balance Volumetrico'!M40&gt;0, 1,0)</f>
        <v>1</v>
      </c>
      <c r="N40" s="176">
        <f>IF('Balance Volumetrico'!N40&gt;0, 1,0)</f>
        <v>1</v>
      </c>
      <c r="O40" s="176">
        <f>IF('Balance Volumetrico'!O40&gt;0, 1,0)</f>
        <v>1</v>
      </c>
      <c r="P40" s="176">
        <f>IF('Balance Volumetrico'!P40&gt;0, 1,0)</f>
        <v>0</v>
      </c>
      <c r="Q40" s="176">
        <f>IF('Balance Volumetrico'!Q40&gt;0, 1,0)</f>
        <v>1</v>
      </c>
      <c r="R40" s="176">
        <f>IF('Balance Volumetrico'!R40&gt;0, 1,0)</f>
        <v>0</v>
      </c>
      <c r="S40" s="176">
        <f>IF('Balance Volumetrico'!S40&gt;0, 1,0)</f>
        <v>1</v>
      </c>
      <c r="T40" s="176">
        <f>IF('Balance Volumetrico'!T40&gt;0, 1,0)</f>
        <v>0</v>
      </c>
      <c r="U40" s="176">
        <f>IF('Balance Volumetrico'!U40&gt;0, 1,0)</f>
        <v>0</v>
      </c>
      <c r="V40" s="176">
        <f>IF('Balance Volumetrico'!V40&gt;0, 1,0)</f>
        <v>0</v>
      </c>
      <c r="W40" s="176">
        <f>IF('Balance Volumetrico'!W40&gt;0, 1,0)</f>
        <v>0</v>
      </c>
      <c r="X40" s="176">
        <f>IF('Balance Volumetrico'!X40&gt;0, 1,0)</f>
        <v>0</v>
      </c>
      <c r="Y40" s="176">
        <f>IF('Balance Volumetrico'!Y40&gt;0, 1,0)</f>
        <v>0</v>
      </c>
      <c r="Z40" s="176">
        <f>IF('Balance Volumetrico'!Z40&gt;0, 1,0)</f>
        <v>0</v>
      </c>
      <c r="AA40" s="176">
        <f>IF('Balance Volumetrico'!AA40&gt;0, 1,0)</f>
        <v>0</v>
      </c>
      <c r="AB40" s="176">
        <f>IF('Balance Volumetrico'!AB40&gt;0, 1,0)</f>
        <v>0</v>
      </c>
      <c r="AC40" s="176">
        <f>IF('Balance Volumetrico'!AC40&gt;0, 1,0)</f>
        <v>0</v>
      </c>
      <c r="AD40" s="176">
        <f>IF('Balance Volumetrico'!AD40&gt;0, 1,0)</f>
        <v>0</v>
      </c>
      <c r="AE40" s="176">
        <f>IF('Balance Volumetrico'!AE40&gt;0, 1,0)</f>
        <v>0</v>
      </c>
      <c r="AF40" s="176">
        <f>IF('Balance Volumetrico'!AF40&gt;0, 1,0)</f>
        <v>0</v>
      </c>
      <c r="AG40" s="176">
        <f>IF('Balance Volumetrico'!AG40&gt;0, 1,0)</f>
        <v>0</v>
      </c>
      <c r="AH40" s="176">
        <f>IF('Balance Volumetrico'!AH40&gt;0, 1,0)</f>
        <v>0</v>
      </c>
      <c r="AI40" s="176">
        <f>IF('Balance Volumetrico'!AI40&gt;0, 1,0)</f>
        <v>0</v>
      </c>
      <c r="AJ40" s="176">
        <f>IF('Balance Volumetrico'!AJ40&gt;0, 1,0)</f>
        <v>0</v>
      </c>
      <c r="AK40" s="176">
        <f t="shared" si="0"/>
        <v>8</v>
      </c>
    </row>
    <row r="41" spans="1:37" s="169" customFormat="1" ht="13.5" thickBot="1" x14ac:dyDescent="0.25">
      <c r="A41" s="430">
        <f>'Balance Volumetrico'!A41</f>
        <v>20130331</v>
      </c>
      <c r="B41" s="431">
        <f>IF('Balance Volumetrico'!B41&gt;0, 1,0)</f>
        <v>0</v>
      </c>
      <c r="C41" s="431">
        <f>IF('Balance Volumetrico'!C41&gt;0, 1,0)</f>
        <v>0</v>
      </c>
      <c r="D41" s="431">
        <f>IF('Balance Volumetrico'!D41&gt;0, 1,0)</f>
        <v>1</v>
      </c>
      <c r="E41" s="431">
        <f>IF('Balance Volumetrico'!E41&gt;0, 1,0)</f>
        <v>1</v>
      </c>
      <c r="F41" s="431">
        <f>IF('Balance Volumetrico'!F41&gt;0, 1,0)</f>
        <v>0</v>
      </c>
      <c r="G41" s="431">
        <f>IF('Balance Volumetrico'!G41&gt;0, 1,0)</f>
        <v>1</v>
      </c>
      <c r="H41" s="431">
        <f>IF('Balance Volumetrico'!H41&gt;0, 1,0)</f>
        <v>1</v>
      </c>
      <c r="I41" s="431">
        <f>IF('Balance Volumetrico'!I41&gt;0, 1,0)</f>
        <v>1</v>
      </c>
      <c r="J41" s="431">
        <f>IF('Balance Volumetrico'!J41&gt;0, 1,0)</f>
        <v>1</v>
      </c>
      <c r="K41" s="431">
        <f>IF('Balance Volumetrico'!K41&gt;0, 1,0)</f>
        <v>1</v>
      </c>
      <c r="L41" s="431">
        <f>IF('Balance Volumetrico'!L41&gt;0, 1,0)</f>
        <v>1</v>
      </c>
      <c r="M41" s="431">
        <f>IF('Balance Volumetrico'!M41&gt;0, 1,0)</f>
        <v>0</v>
      </c>
      <c r="N41" s="431">
        <f>IF('Balance Volumetrico'!N41&gt;0, 1,0)</f>
        <v>1</v>
      </c>
      <c r="O41" s="431">
        <f>IF('Balance Volumetrico'!O41&gt;0, 1,0)</f>
        <v>1</v>
      </c>
      <c r="P41" s="431">
        <f>IF('Balance Volumetrico'!P41&gt;0, 1,0)</f>
        <v>1</v>
      </c>
      <c r="Q41" s="431">
        <f>IF('Balance Volumetrico'!Q41&gt;0, 1,0)</f>
        <v>1</v>
      </c>
      <c r="R41" s="431">
        <f>IF('Balance Volumetrico'!R41&gt;0, 1,0)</f>
        <v>0</v>
      </c>
      <c r="S41" s="431">
        <f>IF('Balance Volumetrico'!S41&gt;0, 1,0)</f>
        <v>1</v>
      </c>
      <c r="T41" s="431">
        <f>IF('Balance Volumetrico'!T41&gt;0, 1,0)</f>
        <v>1</v>
      </c>
      <c r="U41" s="431">
        <f>IF('Balance Volumetrico'!U41&gt;0, 1,0)</f>
        <v>0</v>
      </c>
      <c r="V41" s="431">
        <f>IF('Balance Volumetrico'!V41&gt;0, 1,0)</f>
        <v>0</v>
      </c>
      <c r="W41" s="431">
        <f>IF('Balance Volumetrico'!W41&gt;0, 1,0)</f>
        <v>0</v>
      </c>
      <c r="X41" s="431">
        <f>IF('Balance Volumetrico'!X41&gt;0, 1,0)</f>
        <v>0</v>
      </c>
      <c r="Y41" s="431">
        <f>IF('Balance Volumetrico'!Y41&gt;0, 1,0)</f>
        <v>0</v>
      </c>
      <c r="Z41" s="431">
        <f>IF('Balance Volumetrico'!Z41&gt;0, 1,0)</f>
        <v>0</v>
      </c>
      <c r="AA41" s="431">
        <f>IF('Balance Volumetrico'!AA41&gt;0, 1,0)</f>
        <v>0</v>
      </c>
      <c r="AB41" s="431">
        <f>IF('Balance Volumetrico'!AB41&gt;0, 1,0)</f>
        <v>0</v>
      </c>
      <c r="AC41" s="431">
        <f>IF('Balance Volumetrico'!AC41&gt;0, 1,0)</f>
        <v>0</v>
      </c>
      <c r="AD41" s="431">
        <f>IF('Balance Volumetrico'!AD41&gt;0, 1,0)</f>
        <v>0</v>
      </c>
      <c r="AE41" s="431">
        <f>IF('Balance Volumetrico'!AE41&gt;0, 1,0)</f>
        <v>0</v>
      </c>
      <c r="AF41" s="431">
        <f>IF('Balance Volumetrico'!AF41&gt;0, 1,0)</f>
        <v>0</v>
      </c>
      <c r="AG41" s="431">
        <f>IF('Balance Volumetrico'!AG41&gt;0, 1,0)</f>
        <v>0</v>
      </c>
      <c r="AH41" s="431">
        <f>IF('Balance Volumetrico'!AH41&gt;0, 1,0)</f>
        <v>0</v>
      </c>
      <c r="AI41" s="431">
        <f>IF('Balance Volumetrico'!AI41&gt;0, 1,0)</f>
        <v>0</v>
      </c>
      <c r="AJ41" s="431">
        <f>IF('Balance Volumetrico'!AJ41&gt;0, 1,0)</f>
        <v>0</v>
      </c>
      <c r="AK41" s="176">
        <f t="shared" si="0"/>
        <v>14</v>
      </c>
    </row>
    <row r="42" spans="1:37" s="169" customFormat="1" ht="13.5" thickBot="1" x14ac:dyDescent="0.25">
      <c r="A42" s="435" t="s">
        <v>53</v>
      </c>
      <c r="B42" s="436">
        <f>SUM(B11:B41)</f>
        <v>16</v>
      </c>
      <c r="C42" s="436">
        <f t="shared" ref="C42:AF42" si="1">SUM(C11:C41)</f>
        <v>27</v>
      </c>
      <c r="D42" s="436">
        <f t="shared" si="1"/>
        <v>29</v>
      </c>
      <c r="E42" s="436">
        <f t="shared" si="1"/>
        <v>28</v>
      </c>
      <c r="F42" s="436">
        <f t="shared" si="1"/>
        <v>26</v>
      </c>
      <c r="G42" s="436">
        <f t="shared" si="1"/>
        <v>28</v>
      </c>
      <c r="H42" s="436">
        <f t="shared" si="1"/>
        <v>31</v>
      </c>
      <c r="I42" s="436">
        <f t="shared" si="1"/>
        <v>31</v>
      </c>
      <c r="J42" s="436">
        <f t="shared" si="1"/>
        <v>25</v>
      </c>
      <c r="K42" s="436">
        <f t="shared" si="1"/>
        <v>31</v>
      </c>
      <c r="L42" s="436">
        <f t="shared" si="1"/>
        <v>29</v>
      </c>
      <c r="M42" s="436">
        <f t="shared" si="1"/>
        <v>24</v>
      </c>
      <c r="N42" s="436">
        <f t="shared" si="1"/>
        <v>31</v>
      </c>
      <c r="O42" s="436">
        <f t="shared" si="1"/>
        <v>29</v>
      </c>
      <c r="P42" s="436">
        <f t="shared" si="1"/>
        <v>28</v>
      </c>
      <c r="Q42" s="436">
        <f t="shared" si="1"/>
        <v>31</v>
      </c>
      <c r="R42" s="436">
        <f t="shared" si="1"/>
        <v>23</v>
      </c>
      <c r="S42" s="436">
        <f t="shared" si="1"/>
        <v>31</v>
      </c>
      <c r="T42" s="436">
        <f t="shared" si="1"/>
        <v>29</v>
      </c>
      <c r="U42" s="436">
        <f t="shared" si="1"/>
        <v>0</v>
      </c>
      <c r="V42" s="436">
        <f t="shared" si="1"/>
        <v>0</v>
      </c>
      <c r="W42" s="436">
        <f t="shared" si="1"/>
        <v>0</v>
      </c>
      <c r="X42" s="436">
        <f t="shared" si="1"/>
        <v>0</v>
      </c>
      <c r="Y42" s="436">
        <f t="shared" si="1"/>
        <v>0</v>
      </c>
      <c r="Z42" s="436">
        <f t="shared" si="1"/>
        <v>0</v>
      </c>
      <c r="AA42" s="436">
        <f t="shared" si="1"/>
        <v>0</v>
      </c>
      <c r="AB42" s="436">
        <f t="shared" si="1"/>
        <v>0</v>
      </c>
      <c r="AC42" s="436">
        <f>SUM(AC11:AC41)</f>
        <v>0</v>
      </c>
      <c r="AD42" s="436">
        <f>SUM(AD11:AD41)</f>
        <v>0</v>
      </c>
      <c r="AE42" s="436">
        <f>SUM(AE11:AE41)</f>
        <v>0</v>
      </c>
      <c r="AF42" s="436">
        <f t="shared" si="1"/>
        <v>0</v>
      </c>
      <c r="AG42" s="659">
        <f>SUM(AG11:AG41)</f>
        <v>0</v>
      </c>
      <c r="AH42" s="659">
        <f>SUM(AH11:AH41)</f>
        <v>0</v>
      </c>
      <c r="AI42" s="659">
        <f>SUM(AI11:AI41)</f>
        <v>0</v>
      </c>
      <c r="AJ42" s="659">
        <f>SUM(AJ11:AJ41)</f>
        <v>0</v>
      </c>
      <c r="AK42" s="437">
        <f>SUM(AK11:AK41)</f>
        <v>527</v>
      </c>
    </row>
    <row r="43" spans="1:37" s="169" customFormat="1" x14ac:dyDescent="0.2">
      <c r="A43" s="806" t="s">
        <v>84</v>
      </c>
      <c r="B43" s="807"/>
      <c r="C43" s="807"/>
      <c r="D43" s="807"/>
      <c r="E43" s="807"/>
      <c r="F43" s="807"/>
      <c r="G43" s="807"/>
      <c r="H43" s="807"/>
      <c r="I43" s="807"/>
      <c r="J43" s="807"/>
      <c r="K43" s="807"/>
      <c r="L43" s="807"/>
      <c r="M43" s="807"/>
      <c r="N43" s="807"/>
      <c r="O43" s="807"/>
      <c r="P43" s="807"/>
      <c r="Q43" s="807"/>
      <c r="R43" s="807"/>
      <c r="S43" s="807"/>
      <c r="T43" s="807"/>
      <c r="U43" s="807"/>
      <c r="V43" s="807"/>
      <c r="W43" s="807"/>
      <c r="X43" s="807"/>
      <c r="Y43" s="807"/>
      <c r="Z43" s="807"/>
      <c r="AA43" s="807"/>
      <c r="AB43" s="807"/>
      <c r="AC43" s="807"/>
      <c r="AD43" s="807"/>
      <c r="AE43" s="807"/>
      <c r="AF43" s="807"/>
      <c r="AG43" s="807"/>
      <c r="AH43" s="807"/>
      <c r="AI43" s="807"/>
      <c r="AJ43" s="807"/>
      <c r="AK43" s="808"/>
    </row>
    <row r="44" spans="1:37" s="179" customFormat="1" x14ac:dyDescent="0.2">
      <c r="A44" s="177" t="s">
        <v>115</v>
      </c>
      <c r="B44" s="183">
        <f>SUM(B11:B24)</f>
        <v>11</v>
      </c>
      <c r="C44" s="183">
        <f>SUM(C11:C24)</f>
        <v>14</v>
      </c>
      <c r="D44" s="183">
        <f t="shared" ref="D44:V44" si="2">SUM(D11:D24)</f>
        <v>14</v>
      </c>
      <c r="E44" s="183">
        <f t="shared" si="2"/>
        <v>14</v>
      </c>
      <c r="F44" s="183">
        <f t="shared" si="2"/>
        <v>14</v>
      </c>
      <c r="G44" s="183">
        <f t="shared" si="2"/>
        <v>14</v>
      </c>
      <c r="H44" s="183">
        <f>SUM(H11:H24)</f>
        <v>14</v>
      </c>
      <c r="I44" s="183">
        <f t="shared" si="2"/>
        <v>14</v>
      </c>
      <c r="J44" s="183">
        <f t="shared" si="2"/>
        <v>14</v>
      </c>
      <c r="K44" s="183">
        <f t="shared" si="2"/>
        <v>14</v>
      </c>
      <c r="L44" s="183">
        <f t="shared" si="2"/>
        <v>14</v>
      </c>
      <c r="M44" s="183">
        <f t="shared" si="2"/>
        <v>10</v>
      </c>
      <c r="N44" s="183">
        <f t="shared" si="2"/>
        <v>14</v>
      </c>
      <c r="O44" s="183">
        <f t="shared" si="2"/>
        <v>14</v>
      </c>
      <c r="P44" s="183">
        <f t="shared" si="2"/>
        <v>14</v>
      </c>
      <c r="Q44" s="183">
        <f t="shared" si="2"/>
        <v>14</v>
      </c>
      <c r="R44" s="183">
        <f t="shared" si="2"/>
        <v>12</v>
      </c>
      <c r="S44" s="183">
        <f t="shared" si="2"/>
        <v>14</v>
      </c>
      <c r="T44" s="183">
        <f t="shared" si="2"/>
        <v>14</v>
      </c>
      <c r="U44" s="183">
        <f t="shared" si="2"/>
        <v>0</v>
      </c>
      <c r="V44" s="183">
        <f t="shared" si="2"/>
        <v>0</v>
      </c>
      <c r="W44" s="183">
        <f t="shared" ref="W44:AF44" si="3">SUM(W11:W24)</f>
        <v>0</v>
      </c>
      <c r="X44" s="183">
        <f t="shared" si="3"/>
        <v>0</v>
      </c>
      <c r="Y44" s="183">
        <f t="shared" si="3"/>
        <v>0</v>
      </c>
      <c r="Z44" s="183">
        <f>SUM(Z11:Z24)</f>
        <v>0</v>
      </c>
      <c r="AA44" s="183">
        <f t="shared" si="3"/>
        <v>0</v>
      </c>
      <c r="AB44" s="183">
        <f t="shared" si="3"/>
        <v>0</v>
      </c>
      <c r="AC44" s="183">
        <f>SUM(AC11:AC24)</f>
        <v>0</v>
      </c>
      <c r="AD44" s="183">
        <f>SUM(AD11:AD24)</f>
        <v>0</v>
      </c>
      <c r="AE44" s="183">
        <f>SUM(AE11:AE24)</f>
        <v>0</v>
      </c>
      <c r="AF44" s="183">
        <f t="shared" si="3"/>
        <v>0</v>
      </c>
      <c r="AG44" s="183">
        <f>SUM(AG11:AG24)</f>
        <v>0</v>
      </c>
      <c r="AH44" s="183">
        <f>SUM(AH11:AH24)</f>
        <v>0</v>
      </c>
      <c r="AI44" s="183">
        <f>SUM(AI11:AI24)</f>
        <v>0</v>
      </c>
      <c r="AJ44" s="183">
        <f>SUM(AJ11:AJ24)</f>
        <v>0</v>
      </c>
      <c r="AK44" s="178">
        <f>SUM(AK11:AK42)</f>
        <v>1054</v>
      </c>
    </row>
    <row r="45" spans="1:37" s="179" customFormat="1" x14ac:dyDescent="0.2">
      <c r="A45" s="177" t="s">
        <v>114</v>
      </c>
      <c r="B45" s="183">
        <f>SUM(B25:B41)</f>
        <v>5</v>
      </c>
      <c r="C45" s="183">
        <f t="shared" ref="C45:AK45" si="4">SUM(C25:C41)</f>
        <v>13</v>
      </c>
      <c r="D45" s="183">
        <f t="shared" si="4"/>
        <v>15</v>
      </c>
      <c r="E45" s="183">
        <f t="shared" si="4"/>
        <v>14</v>
      </c>
      <c r="F45" s="183">
        <f t="shared" si="4"/>
        <v>12</v>
      </c>
      <c r="G45" s="183">
        <f t="shared" si="4"/>
        <v>14</v>
      </c>
      <c r="H45" s="183">
        <f>SUM(H25:H41)</f>
        <v>17</v>
      </c>
      <c r="I45" s="183">
        <f t="shared" si="4"/>
        <v>17</v>
      </c>
      <c r="J45" s="183">
        <f t="shared" si="4"/>
        <v>11</v>
      </c>
      <c r="K45" s="183">
        <f t="shared" si="4"/>
        <v>17</v>
      </c>
      <c r="L45" s="183">
        <f t="shared" si="4"/>
        <v>15</v>
      </c>
      <c r="M45" s="183">
        <f t="shared" si="4"/>
        <v>14</v>
      </c>
      <c r="N45" s="183">
        <f>SUM(N25:N41)</f>
        <v>17</v>
      </c>
      <c r="O45" s="183">
        <f t="shared" si="4"/>
        <v>15</v>
      </c>
      <c r="P45" s="183">
        <f t="shared" si="4"/>
        <v>14</v>
      </c>
      <c r="Q45" s="183">
        <f t="shared" si="4"/>
        <v>17</v>
      </c>
      <c r="R45" s="183">
        <f t="shared" si="4"/>
        <v>11</v>
      </c>
      <c r="S45" s="183">
        <f t="shared" si="4"/>
        <v>17</v>
      </c>
      <c r="T45" s="183">
        <f t="shared" si="4"/>
        <v>15</v>
      </c>
      <c r="U45" s="183">
        <f t="shared" si="4"/>
        <v>0</v>
      </c>
      <c r="V45" s="183">
        <f t="shared" si="4"/>
        <v>0</v>
      </c>
      <c r="W45" s="183">
        <f t="shared" ref="W45:AF45" si="5">SUM(W25:W41)</f>
        <v>0</v>
      </c>
      <c r="X45" s="183">
        <f t="shared" si="5"/>
        <v>0</v>
      </c>
      <c r="Y45" s="183">
        <f t="shared" si="5"/>
        <v>0</v>
      </c>
      <c r="Z45" s="183">
        <f>SUM(Z25:Z41)</f>
        <v>0</v>
      </c>
      <c r="AA45" s="183">
        <f t="shared" si="5"/>
        <v>0</v>
      </c>
      <c r="AB45" s="183">
        <f t="shared" si="5"/>
        <v>0</v>
      </c>
      <c r="AC45" s="183">
        <f>SUM(AC25:AC41)</f>
        <v>0</v>
      </c>
      <c r="AD45" s="183">
        <f>SUM(AD25:AD41)</f>
        <v>0</v>
      </c>
      <c r="AE45" s="183">
        <f>SUM(AE25:AE41)</f>
        <v>0</v>
      </c>
      <c r="AF45" s="183">
        <f t="shared" si="5"/>
        <v>0</v>
      </c>
      <c r="AG45" s="183">
        <f>SUM(AG25:AG41)</f>
        <v>0</v>
      </c>
      <c r="AH45" s="183">
        <f>SUM(AH25:AH41)</f>
        <v>0</v>
      </c>
      <c r="AI45" s="183">
        <f>SUM(AI25:AI41)</f>
        <v>0</v>
      </c>
      <c r="AJ45" s="183">
        <f>SUM(AJ25:AJ41)</f>
        <v>0</v>
      </c>
      <c r="AK45" s="178">
        <f t="shared" si="4"/>
        <v>270</v>
      </c>
    </row>
  </sheetData>
  <mergeCells count="7">
    <mergeCell ref="A43:AK43"/>
    <mergeCell ref="A6:AK6"/>
    <mergeCell ref="A7:AK7"/>
    <mergeCell ref="A1:AK1"/>
    <mergeCell ref="A2:AK2"/>
    <mergeCell ref="A3:AK3"/>
    <mergeCell ref="A4:AK4"/>
  </mergeCells>
  <phoneticPr fontId="2" type="noConversion"/>
  <printOptions verticalCentered="1"/>
  <pageMargins left="0.78740157480314965" right="0.78740157480314965" top="0.78740157480314965" bottom="0.78740157480314965" header="0" footer="0"/>
  <pageSetup scale="75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9221" r:id="rId4">
          <objectPr defaultSize="0" autoPict="0" r:id="rId5">
            <anchor moveWithCells="1">
              <from>
                <xdr:col>37</xdr:col>
                <xdr:colOff>342900</xdr:colOff>
                <xdr:row>1</xdr:row>
                <xdr:rowOff>38100</xdr:rowOff>
              </from>
              <to>
                <xdr:col>38</xdr:col>
                <xdr:colOff>381000</xdr:colOff>
                <xdr:row>6</xdr:row>
                <xdr:rowOff>19050</xdr:rowOff>
              </to>
            </anchor>
          </objectPr>
        </oleObject>
      </mc:Choice>
      <mc:Fallback>
        <oleObject progId="Word.Document.8" shapeId="9221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N106"/>
  <sheetViews>
    <sheetView view="pageBreakPreview" topLeftCell="C63" zoomScale="115" zoomScaleNormal="85" workbookViewId="0">
      <selection activeCell="K73" sqref="K73"/>
    </sheetView>
  </sheetViews>
  <sheetFormatPr baseColWidth="10" defaultRowHeight="12.75" x14ac:dyDescent="0.2"/>
  <cols>
    <col min="1" max="1" width="12.7109375" customWidth="1"/>
    <col min="3" max="3" width="20" customWidth="1"/>
    <col min="4" max="4" width="14" customWidth="1"/>
    <col min="5" max="5" width="22.140625" customWidth="1"/>
    <col min="6" max="6" width="14.42578125" customWidth="1"/>
    <col min="7" max="7" width="17" customWidth="1"/>
    <col min="8" max="8" width="12.85546875" customWidth="1"/>
    <col min="9" max="9" width="11.5703125" customWidth="1"/>
    <col min="10" max="10" width="8.7109375" customWidth="1"/>
    <col min="11" max="12" width="9.28515625" bestFit="1" customWidth="1"/>
    <col min="13" max="13" width="8.42578125" bestFit="1" customWidth="1"/>
  </cols>
  <sheetData>
    <row r="1" spans="1:11" ht="15.75" x14ac:dyDescent="0.25">
      <c r="A1" s="809" t="s">
        <v>0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</row>
    <row r="2" spans="1:11" x14ac:dyDescent="0.2">
      <c r="A2" s="810" t="s">
        <v>8</v>
      </c>
      <c r="B2" s="810"/>
      <c r="C2" s="810"/>
      <c r="D2" s="810"/>
      <c r="E2" s="810"/>
      <c r="F2" s="810"/>
      <c r="G2" s="810"/>
      <c r="H2" s="810"/>
      <c r="I2" s="810"/>
      <c r="J2" s="810"/>
      <c r="K2" s="810"/>
    </row>
    <row r="3" spans="1:11" x14ac:dyDescent="0.2">
      <c r="A3" s="810" t="s">
        <v>9</v>
      </c>
      <c r="B3" s="810"/>
      <c r="C3" s="810"/>
      <c r="D3" s="810"/>
      <c r="E3" s="810"/>
      <c r="F3" s="810"/>
      <c r="G3" s="810"/>
      <c r="H3" s="810"/>
      <c r="I3" s="810"/>
      <c r="J3" s="810"/>
      <c r="K3" s="810"/>
    </row>
    <row r="4" spans="1:11" x14ac:dyDescent="0.2">
      <c r="A4" s="811"/>
      <c r="B4" s="811"/>
      <c r="C4" s="811"/>
      <c r="D4" s="811"/>
      <c r="E4" s="811"/>
      <c r="F4" s="811"/>
      <c r="G4" s="811"/>
      <c r="H4" s="811"/>
      <c r="I4" s="811"/>
      <c r="J4" s="811"/>
      <c r="K4" s="811"/>
    </row>
    <row r="5" spans="1:11" x14ac:dyDescent="0.2">
      <c r="A5" s="9"/>
      <c r="B5" s="9"/>
      <c r="C5" s="9"/>
      <c r="D5" s="9"/>
      <c r="E5" s="9"/>
      <c r="F5" s="9"/>
      <c r="G5" s="9"/>
      <c r="H5" s="9"/>
      <c r="I5" s="9"/>
      <c r="J5" s="9"/>
    </row>
    <row r="6" spans="1:11" ht="15.75" x14ac:dyDescent="0.25">
      <c r="A6" s="816" t="s">
        <v>1</v>
      </c>
      <c r="B6" s="816"/>
      <c r="C6" s="816"/>
      <c r="D6" s="816"/>
      <c r="E6" s="816"/>
      <c r="F6" s="816"/>
      <c r="G6" s="816"/>
      <c r="H6" s="816"/>
      <c r="I6" s="816"/>
      <c r="J6" s="816"/>
      <c r="K6" s="816"/>
    </row>
    <row r="8" spans="1:11" ht="13.5" thickBot="1" x14ac:dyDescent="0.25"/>
    <row r="9" spans="1:11" ht="13.5" thickTop="1" x14ac:dyDescent="0.2">
      <c r="A9" s="22" t="str">
        <f>'QUINCENA 2'!A9</f>
        <v>SISTEMA:</v>
      </c>
      <c r="B9" s="675" t="s">
        <v>277</v>
      </c>
      <c r="C9" s="24"/>
      <c r="D9" s="25"/>
      <c r="E9" s="26" t="s">
        <v>12</v>
      </c>
      <c r="F9" s="817">
        <v>41334</v>
      </c>
      <c r="G9" s="818"/>
      <c r="H9" s="27" t="s">
        <v>11</v>
      </c>
      <c r="I9" s="819">
        <f ca="1">TODAY()</f>
        <v>41463</v>
      </c>
      <c r="J9" s="819"/>
      <c r="K9" s="820"/>
    </row>
    <row r="10" spans="1:11" ht="13.5" x14ac:dyDescent="0.25">
      <c r="A10" s="28" t="str">
        <f>'QUINCENA 2'!A10</f>
        <v>CASETA NO.</v>
      </c>
      <c r="B10" s="676" t="s">
        <v>278</v>
      </c>
      <c r="C10" s="30"/>
      <c r="D10" s="31"/>
      <c r="E10" s="32"/>
      <c r="F10" s="33" t="s">
        <v>6</v>
      </c>
      <c r="G10" s="34" t="s">
        <v>7</v>
      </c>
      <c r="H10" s="35"/>
      <c r="I10" s="36"/>
      <c r="J10" s="36"/>
      <c r="K10" s="37"/>
    </row>
    <row r="11" spans="1:11" ht="13.5" x14ac:dyDescent="0.25">
      <c r="A11" s="28" t="str">
        <f>'QUINCENA 2'!A11</f>
        <v>EQUIPO:</v>
      </c>
      <c r="B11" s="676" t="s">
        <v>236</v>
      </c>
      <c r="C11" s="30"/>
      <c r="D11" s="31"/>
      <c r="E11" s="35" t="s">
        <v>13</v>
      </c>
      <c r="F11" s="38">
        <v>41334</v>
      </c>
      <c r="G11" s="38">
        <v>41364</v>
      </c>
      <c r="H11" s="35" t="s">
        <v>4</v>
      </c>
      <c r="I11" s="29" t="str">
        <f>+'QUINCENA 1 '!I11</f>
        <v>Ing. Octavio Muñoz</v>
      </c>
      <c r="J11" s="29"/>
      <c r="K11" s="37"/>
    </row>
    <row r="12" spans="1:11" ht="13.5" x14ac:dyDescent="0.25">
      <c r="A12" s="28" t="str">
        <f>'QUINCENA 2'!A12</f>
        <v>USUARIOS:</v>
      </c>
      <c r="B12" s="676" t="s">
        <v>266</v>
      </c>
      <c r="C12" s="30"/>
      <c r="D12" s="31"/>
      <c r="E12" s="35"/>
      <c r="F12" s="39"/>
      <c r="G12" s="40"/>
      <c r="H12" s="35" t="s">
        <v>59</v>
      </c>
      <c r="I12" s="29" t="str">
        <f>+'QUINCENA 1 '!I12</f>
        <v>Ing. Rafael González Domínguez</v>
      </c>
      <c r="J12" s="29"/>
      <c r="K12" s="37"/>
    </row>
    <row r="13" spans="1:11" ht="13.5" x14ac:dyDescent="0.25">
      <c r="A13" s="28"/>
      <c r="B13" s="676" t="s">
        <v>267</v>
      </c>
      <c r="C13" s="30"/>
      <c r="D13" s="31"/>
      <c r="E13" s="35"/>
      <c r="F13" s="39"/>
      <c r="G13" s="40"/>
      <c r="H13" s="35" t="s">
        <v>14</v>
      </c>
      <c r="I13" s="29">
        <f>+'QUINCENA 1 '!I13</f>
        <v>0</v>
      </c>
      <c r="J13" s="29"/>
      <c r="K13" s="37"/>
    </row>
    <row r="14" spans="1:11" ht="14.25" thickBot="1" x14ac:dyDescent="0.3">
      <c r="A14" s="28"/>
      <c r="B14" s="677" t="s">
        <v>247</v>
      </c>
      <c r="C14" s="42"/>
      <c r="D14" s="43"/>
      <c r="E14" s="110"/>
      <c r="F14" s="111"/>
      <c r="G14" s="112"/>
      <c r="H14" s="110"/>
      <c r="I14" s="109">
        <f>+'QUINCENA 1 '!I14</f>
        <v>0</v>
      </c>
      <c r="J14" s="109"/>
      <c r="K14" s="48"/>
    </row>
    <row r="15" spans="1:11" ht="14.25" thickTop="1" x14ac:dyDescent="0.25">
      <c r="A15" s="28"/>
      <c r="B15" s="29" t="s">
        <v>248</v>
      </c>
      <c r="C15" s="30"/>
      <c r="D15" s="31"/>
      <c r="E15" s="35"/>
      <c r="F15" s="39"/>
      <c r="G15" s="40"/>
      <c r="H15" s="35"/>
      <c r="I15" s="29">
        <f>+'QUINCENA 1 '!I15</f>
        <v>0</v>
      </c>
      <c r="J15" s="29"/>
      <c r="K15" s="37"/>
    </row>
    <row r="16" spans="1:11" ht="13.5" x14ac:dyDescent="0.25">
      <c r="A16" s="28"/>
      <c r="B16" s="29" t="s">
        <v>268</v>
      </c>
      <c r="C16" s="30"/>
      <c r="D16" s="31"/>
      <c r="E16" s="35"/>
      <c r="F16" s="39"/>
      <c r="G16" s="40"/>
      <c r="H16" s="35"/>
      <c r="I16" s="29"/>
      <c r="J16" s="29"/>
      <c r="K16" s="37"/>
    </row>
    <row r="17" spans="1:11" ht="13.5" x14ac:dyDescent="0.25">
      <c r="A17" s="28"/>
      <c r="B17" s="29" t="s">
        <v>250</v>
      </c>
      <c r="C17" s="30"/>
      <c r="D17" s="31"/>
      <c r="E17" s="35"/>
      <c r="F17" s="39"/>
      <c r="G17" s="40"/>
      <c r="H17" s="35"/>
      <c r="I17" s="29"/>
      <c r="J17" s="29"/>
      <c r="K17" s="37"/>
    </row>
    <row r="18" spans="1:11" ht="13.5" x14ac:dyDescent="0.25">
      <c r="A18" s="28"/>
      <c r="B18" s="29" t="s">
        <v>251</v>
      </c>
      <c r="C18" s="30"/>
      <c r="D18" s="31"/>
      <c r="E18" s="35"/>
      <c r="F18" s="39"/>
      <c r="G18" s="40"/>
      <c r="H18" s="35"/>
      <c r="I18" s="29"/>
      <c r="J18" s="29"/>
      <c r="K18" s="37"/>
    </row>
    <row r="19" spans="1:11" ht="13.5" x14ac:dyDescent="0.25">
      <c r="A19" s="28"/>
      <c r="B19" s="29" t="s">
        <v>269</v>
      </c>
      <c r="C19" s="30"/>
      <c r="D19" s="31"/>
      <c r="E19" s="35"/>
      <c r="F19" s="39"/>
      <c r="G19" s="40"/>
      <c r="H19" s="35"/>
      <c r="I19" s="29"/>
      <c r="J19" s="29"/>
      <c r="K19" s="37"/>
    </row>
    <row r="20" spans="1:11" ht="13.5" x14ac:dyDescent="0.25">
      <c r="A20" s="28"/>
      <c r="B20" s="29" t="s">
        <v>270</v>
      </c>
      <c r="C20" s="30"/>
      <c r="D20" s="31"/>
      <c r="E20" s="35"/>
      <c r="F20" s="39"/>
      <c r="G20" s="40"/>
      <c r="H20" s="35"/>
      <c r="I20" s="29"/>
      <c r="J20" s="29"/>
      <c r="K20" s="37"/>
    </row>
    <row r="21" spans="1:11" ht="13.5" x14ac:dyDescent="0.25">
      <c r="A21" s="28"/>
      <c r="B21" s="29" t="s">
        <v>254</v>
      </c>
      <c r="C21" s="30"/>
      <c r="D21" s="31"/>
      <c r="E21" s="35"/>
      <c r="F21" s="39"/>
      <c r="G21" s="40"/>
      <c r="H21" s="35"/>
      <c r="I21" s="29"/>
      <c r="J21" s="29"/>
      <c r="K21" s="37"/>
    </row>
    <row r="22" spans="1:11" ht="13.5" x14ac:dyDescent="0.25">
      <c r="A22" s="28"/>
      <c r="B22" s="29" t="s">
        <v>255</v>
      </c>
      <c r="C22" s="30"/>
      <c r="D22" s="31"/>
      <c r="E22" s="35"/>
      <c r="F22" s="39"/>
      <c r="G22" s="40"/>
      <c r="H22" s="35"/>
      <c r="I22" s="29"/>
      <c r="J22" s="29"/>
      <c r="K22" s="37"/>
    </row>
    <row r="23" spans="1:11" ht="13.5" x14ac:dyDescent="0.25">
      <c r="A23" s="28"/>
      <c r="B23" s="29" t="s">
        <v>256</v>
      </c>
      <c r="C23" s="30"/>
      <c r="D23" s="31"/>
      <c r="E23" s="35"/>
      <c r="F23" s="39"/>
      <c r="G23" s="40"/>
      <c r="H23" s="35"/>
      <c r="I23" s="29"/>
      <c r="J23" s="29"/>
      <c r="K23" s="37"/>
    </row>
    <row r="24" spans="1:11" ht="13.5" x14ac:dyDescent="0.25">
      <c r="A24" s="28"/>
      <c r="B24" s="29" t="s">
        <v>271</v>
      </c>
      <c r="C24" s="30"/>
      <c r="D24" s="31"/>
      <c r="E24" s="35"/>
      <c r="F24" s="39"/>
      <c r="G24" s="40"/>
      <c r="H24" s="35"/>
      <c r="I24" s="29"/>
      <c r="J24" s="29"/>
      <c r="K24" s="37"/>
    </row>
    <row r="25" spans="1:11" ht="13.5" x14ac:dyDescent="0.25">
      <c r="A25" s="28"/>
      <c r="B25" s="29" t="s">
        <v>258</v>
      </c>
      <c r="C25" s="30"/>
      <c r="D25" s="31"/>
      <c r="E25" s="35"/>
      <c r="F25" s="39"/>
      <c r="G25" s="40"/>
      <c r="H25" s="35"/>
      <c r="I25" s="29"/>
      <c r="J25" s="29"/>
      <c r="K25" s="37"/>
    </row>
    <row r="26" spans="1:11" ht="13.5" x14ac:dyDescent="0.25">
      <c r="A26" s="28"/>
      <c r="B26" s="29" t="s">
        <v>272</v>
      </c>
      <c r="C26" s="30"/>
      <c r="D26" s="31"/>
      <c r="E26" s="35"/>
      <c r="F26" s="39"/>
      <c r="G26" s="40"/>
      <c r="H26" s="35"/>
      <c r="I26" s="29"/>
      <c r="J26" s="29"/>
      <c r="K26" s="37"/>
    </row>
    <row r="27" spans="1:11" ht="13.5" x14ac:dyDescent="0.25">
      <c r="A27" s="28"/>
      <c r="B27" s="29" t="s">
        <v>273</v>
      </c>
      <c r="C27" s="30"/>
      <c r="D27" s="31"/>
      <c r="E27" s="35"/>
      <c r="F27" s="39"/>
      <c r="G27" s="40"/>
      <c r="H27" s="35"/>
      <c r="I27" s="29"/>
      <c r="J27" s="29"/>
      <c r="K27" s="37"/>
    </row>
    <row r="28" spans="1:11" ht="13.5" x14ac:dyDescent="0.25">
      <c r="A28" s="28"/>
      <c r="B28" s="29" t="s">
        <v>274</v>
      </c>
      <c r="C28" s="30"/>
      <c r="D28" s="31"/>
      <c r="E28" s="35"/>
      <c r="F28" s="39"/>
      <c r="G28" s="40"/>
      <c r="H28" s="35"/>
      <c r="I28" s="29"/>
      <c r="J28" s="29"/>
      <c r="K28" s="37"/>
    </row>
    <row r="29" spans="1:11" ht="13.5" x14ac:dyDescent="0.25">
      <c r="A29" s="28"/>
      <c r="B29" s="29" t="s">
        <v>275</v>
      </c>
      <c r="C29" s="30"/>
      <c r="D29" s="31"/>
      <c r="E29" s="35"/>
      <c r="F29" s="39"/>
      <c r="G29" s="40"/>
      <c r="H29" s="35"/>
      <c r="I29" s="29"/>
      <c r="J29" s="29"/>
      <c r="K29" s="37"/>
    </row>
    <row r="30" spans="1:11" ht="13.5" x14ac:dyDescent="0.25">
      <c r="A30" s="28"/>
      <c r="B30" s="29" t="s">
        <v>276</v>
      </c>
      <c r="C30" s="30"/>
      <c r="D30" s="31"/>
      <c r="E30" s="35"/>
      <c r="F30" s="39"/>
      <c r="G30" s="40"/>
      <c r="H30" s="35"/>
      <c r="I30" s="29"/>
      <c r="J30" s="29"/>
      <c r="K30" s="37"/>
    </row>
    <row r="31" spans="1:11" ht="13.5" hidden="1" x14ac:dyDescent="0.25">
      <c r="A31" s="28"/>
      <c r="B31" s="29" t="str">
        <f>'QUINCENA 2'!B31</f>
        <v>Cliente 20</v>
      </c>
      <c r="C31" s="30"/>
      <c r="D31" s="31"/>
      <c r="E31" s="35"/>
      <c r="F31" s="39"/>
      <c r="G31" s="40"/>
      <c r="H31" s="35"/>
      <c r="I31" s="29"/>
      <c r="J31" s="29"/>
      <c r="K31" s="37"/>
    </row>
    <row r="32" spans="1:11" ht="13.5" hidden="1" x14ac:dyDescent="0.25">
      <c r="A32" s="28"/>
      <c r="B32" s="29" t="str">
        <f>'QUINCENA 2'!B32</f>
        <v>Cliente 21</v>
      </c>
      <c r="C32" s="30"/>
      <c r="D32" s="31"/>
      <c r="E32" s="35"/>
      <c r="F32" s="39"/>
      <c r="G32" s="40"/>
      <c r="H32" s="35"/>
      <c r="I32" s="29"/>
      <c r="J32" s="29"/>
      <c r="K32" s="37"/>
    </row>
    <row r="33" spans="1:11" ht="13.5" hidden="1" x14ac:dyDescent="0.25">
      <c r="A33" s="28"/>
      <c r="B33" s="29" t="str">
        <f>'QUINCENA 2'!B33</f>
        <v>Cliente 22</v>
      </c>
      <c r="C33" s="30"/>
      <c r="D33" s="31"/>
      <c r="E33" s="35"/>
      <c r="F33" s="39"/>
      <c r="G33" s="40"/>
      <c r="H33" s="35"/>
      <c r="I33" s="29"/>
      <c r="J33" s="29"/>
      <c r="K33" s="37"/>
    </row>
    <row r="34" spans="1:11" ht="13.5" hidden="1" x14ac:dyDescent="0.25">
      <c r="A34" s="28"/>
      <c r="B34" s="29" t="str">
        <f>'QUINCENA 2'!B34</f>
        <v>Cliente 23</v>
      </c>
      <c r="C34" s="30"/>
      <c r="D34" s="31"/>
      <c r="E34" s="35"/>
      <c r="F34" s="39"/>
      <c r="G34" s="40"/>
      <c r="H34" s="35"/>
      <c r="I34" s="29"/>
      <c r="J34" s="29"/>
      <c r="K34" s="37"/>
    </row>
    <row r="35" spans="1:11" ht="13.5" hidden="1" x14ac:dyDescent="0.25">
      <c r="A35" s="28"/>
      <c r="B35" s="29" t="str">
        <f>'QUINCENA 2'!B35</f>
        <v>Cliente 24</v>
      </c>
      <c r="C35" s="30"/>
      <c r="D35" s="31"/>
      <c r="E35" s="35"/>
      <c r="F35" s="39"/>
      <c r="G35" s="40"/>
      <c r="H35" s="35"/>
      <c r="I35" s="29"/>
      <c r="J35" s="29"/>
      <c r="K35" s="37"/>
    </row>
    <row r="36" spans="1:11" ht="13.5" hidden="1" x14ac:dyDescent="0.25">
      <c r="A36" s="28"/>
      <c r="B36" s="29" t="str">
        <f>'QUINCENA 2'!B36</f>
        <v>Cliente 25</v>
      </c>
      <c r="C36" s="30"/>
      <c r="D36" s="31"/>
      <c r="E36" s="35"/>
      <c r="F36" s="39"/>
      <c r="G36" s="40"/>
      <c r="H36" s="35"/>
      <c r="I36" s="29"/>
      <c r="J36" s="29"/>
      <c r="K36" s="37"/>
    </row>
    <row r="37" spans="1:11" ht="13.5" hidden="1" x14ac:dyDescent="0.25">
      <c r="A37" s="28"/>
      <c r="B37" s="29" t="str">
        <f>'QUINCENA 2'!B37</f>
        <v>Cliente 26</v>
      </c>
      <c r="C37" s="30"/>
      <c r="D37" s="31"/>
      <c r="E37" s="35"/>
      <c r="F37" s="39"/>
      <c r="G37" s="40"/>
      <c r="H37" s="35"/>
      <c r="I37" s="29"/>
      <c r="J37" s="29"/>
      <c r="K37" s="37"/>
    </row>
    <row r="38" spans="1:11" ht="13.5" hidden="1" x14ac:dyDescent="0.25">
      <c r="A38" s="28"/>
      <c r="B38" s="29" t="str">
        <f>'QUINCENA 2'!B38</f>
        <v>Cliente 27</v>
      </c>
      <c r="C38" s="30"/>
      <c r="D38" s="31"/>
      <c r="E38" s="35"/>
      <c r="F38" s="39"/>
      <c r="G38" s="40"/>
      <c r="H38" s="35"/>
      <c r="I38" s="29"/>
      <c r="J38" s="29"/>
      <c r="K38" s="37"/>
    </row>
    <row r="39" spans="1:11" ht="13.5" hidden="1" x14ac:dyDescent="0.25">
      <c r="A39" s="28"/>
      <c r="B39" s="29" t="str">
        <f>'QUINCENA 2'!B39</f>
        <v>Cliente 28</v>
      </c>
      <c r="C39" s="30"/>
      <c r="D39" s="31"/>
      <c r="E39" s="35"/>
      <c r="F39" s="39"/>
      <c r="G39" s="40"/>
      <c r="H39" s="35"/>
      <c r="I39" s="29"/>
      <c r="J39" s="29"/>
      <c r="K39" s="37"/>
    </row>
    <row r="40" spans="1:11" ht="13.5" hidden="1" x14ac:dyDescent="0.25">
      <c r="A40" s="28"/>
      <c r="B40" s="29" t="str">
        <f>'QUINCENA 2'!B40</f>
        <v>Cliente 29</v>
      </c>
      <c r="C40" s="30"/>
      <c r="D40" s="31"/>
      <c r="E40" s="35"/>
      <c r="F40" s="39"/>
      <c r="G40" s="40"/>
      <c r="H40" s="35"/>
      <c r="I40" s="29"/>
      <c r="J40" s="29"/>
      <c r="K40" s="37"/>
    </row>
    <row r="41" spans="1:11" ht="13.5" hidden="1" x14ac:dyDescent="0.25">
      <c r="A41" s="28"/>
      <c r="B41" s="29" t="str">
        <f>'QUINCENA 2'!B41</f>
        <v>Cliente 30</v>
      </c>
      <c r="C41" s="30"/>
      <c r="D41" s="31"/>
      <c r="E41" s="35"/>
      <c r="F41" s="39"/>
      <c r="G41" s="40"/>
      <c r="H41" s="35"/>
      <c r="I41" s="29"/>
      <c r="J41" s="29"/>
      <c r="K41" s="37"/>
    </row>
    <row r="42" spans="1:11" ht="13.5" hidden="1" x14ac:dyDescent="0.25">
      <c r="A42" s="28"/>
      <c r="B42" s="29" t="str">
        <f>'QUINCENA 2'!B42</f>
        <v>Cliente 31</v>
      </c>
      <c r="C42" s="30"/>
      <c r="D42" s="31"/>
      <c r="E42" s="35"/>
      <c r="F42" s="39"/>
      <c r="G42" s="40"/>
      <c r="H42" s="35"/>
      <c r="I42" s="29"/>
      <c r="J42" s="29"/>
      <c r="K42" s="37"/>
    </row>
    <row r="43" spans="1:11" ht="13.5" hidden="1" x14ac:dyDescent="0.25">
      <c r="A43" s="28"/>
      <c r="B43" s="29" t="str">
        <f>'QUINCENA 2'!B43</f>
        <v>Cliente 32</v>
      </c>
      <c r="C43" s="30"/>
      <c r="D43" s="31"/>
      <c r="E43" s="35"/>
      <c r="F43" s="39"/>
      <c r="G43" s="40"/>
      <c r="H43" s="35"/>
      <c r="I43" s="29"/>
      <c r="J43" s="29"/>
      <c r="K43" s="37"/>
    </row>
    <row r="44" spans="1:11" ht="13.5" hidden="1" x14ac:dyDescent="0.25">
      <c r="A44" s="28"/>
      <c r="B44" s="29" t="str">
        <f>'QUINCENA 2'!B44</f>
        <v>Cliente 33</v>
      </c>
      <c r="C44" s="30"/>
      <c r="D44" s="31"/>
      <c r="E44" s="35"/>
      <c r="F44" s="39"/>
      <c r="G44" s="40"/>
      <c r="H44" s="35"/>
      <c r="I44" s="29"/>
      <c r="J44" s="29"/>
      <c r="K44" s="37"/>
    </row>
    <row r="45" spans="1:11" ht="13.5" hidden="1" x14ac:dyDescent="0.25">
      <c r="A45" s="28"/>
      <c r="B45" s="29" t="str">
        <f>'QUINCENA 2'!B45</f>
        <v>Cliente 34</v>
      </c>
      <c r="C45" s="30"/>
      <c r="D45" s="31"/>
      <c r="E45" s="35"/>
      <c r="F45" s="39"/>
      <c r="G45" s="40"/>
      <c r="H45" s="35"/>
      <c r="I45" s="29"/>
      <c r="J45" s="29"/>
      <c r="K45" s="37"/>
    </row>
    <row r="46" spans="1:11" ht="14.25" hidden="1" thickBot="1" x14ac:dyDescent="0.3">
      <c r="A46" s="41"/>
      <c r="B46" s="29" t="str">
        <f>'QUINCENA 2'!B46</f>
        <v>Cliente 35</v>
      </c>
      <c r="C46" s="42"/>
      <c r="D46" s="43"/>
      <c r="E46" s="110"/>
      <c r="F46" s="111"/>
      <c r="G46" s="112"/>
      <c r="H46" s="110"/>
      <c r="I46" s="109"/>
      <c r="J46" s="109"/>
      <c r="K46" s="48"/>
    </row>
    <row r="48" spans="1:11" ht="15.75" x14ac:dyDescent="0.25">
      <c r="A48" s="49" t="s">
        <v>19</v>
      </c>
    </row>
    <row r="49" spans="1:14" ht="15.75" x14ac:dyDescent="0.25">
      <c r="A49" s="49"/>
    </row>
    <row r="50" spans="1:14" ht="13.5" thickBot="1" x14ac:dyDescent="0.25">
      <c r="A50" s="15" t="s">
        <v>20</v>
      </c>
    </row>
    <row r="51" spans="1:14" ht="12.75" customHeight="1" thickTop="1" x14ac:dyDescent="0.2">
      <c r="A51" s="821" t="s">
        <v>21</v>
      </c>
      <c r="B51" s="822"/>
      <c r="C51" s="823"/>
      <c r="D51" s="824" t="s">
        <v>22</v>
      </c>
      <c r="E51" s="825"/>
      <c r="F51" s="824" t="s">
        <v>23</v>
      </c>
      <c r="G51" s="825"/>
      <c r="H51" s="253"/>
      <c r="I51" s="826" t="s">
        <v>36</v>
      </c>
      <c r="J51" s="828" t="s">
        <v>58</v>
      </c>
      <c r="K51" s="828"/>
      <c r="L51" s="828"/>
      <c r="M51" s="254" t="s">
        <v>60</v>
      </c>
    </row>
    <row r="52" spans="1:14" x14ac:dyDescent="0.2">
      <c r="A52" s="255"/>
      <c r="B52" s="52"/>
      <c r="C52" s="31"/>
      <c r="D52" s="53" t="s">
        <v>16</v>
      </c>
      <c r="E52" s="53" t="s">
        <v>34</v>
      </c>
      <c r="F52" s="54" t="s">
        <v>24</v>
      </c>
      <c r="G52" s="54" t="s">
        <v>64</v>
      </c>
      <c r="H52" s="54" t="s">
        <v>25</v>
      </c>
      <c r="I52" s="827"/>
      <c r="J52" s="54" t="s">
        <v>25</v>
      </c>
      <c r="K52" s="105" t="s">
        <v>15</v>
      </c>
      <c r="L52" s="51" t="s">
        <v>63</v>
      </c>
      <c r="M52" s="256" t="s">
        <v>63</v>
      </c>
    </row>
    <row r="53" spans="1:14" x14ac:dyDescent="0.2">
      <c r="A53" s="257" t="s">
        <v>26</v>
      </c>
      <c r="B53" s="55"/>
      <c r="C53" s="56"/>
      <c r="D53" s="243">
        <f>'QUINCENA 1 '!D53+'QUINCENA 2'!D53</f>
        <v>82336.424863158652</v>
      </c>
      <c r="E53" s="243">
        <f>'QUINCENA 1 '!E53+'QUINCENA 2'!E53</f>
        <v>2331510</v>
      </c>
      <c r="F53" s="243">
        <f>'QUINCENA 1 '!F53+'QUINCENA 2'!F53</f>
        <v>80566.489888986311</v>
      </c>
      <c r="G53" s="243">
        <f>'QUINCENA 1 '!G53+'QUINCENA 2'!G53</f>
        <v>85003.682094309275</v>
      </c>
      <c r="H53" s="246"/>
      <c r="I53" s="59">
        <f>'QUINCENA 1 '!I53+'QUINCENA 2'!I53</f>
        <v>31</v>
      </c>
      <c r="J53" s="252"/>
      <c r="K53" s="246"/>
      <c r="L53" s="61"/>
      <c r="M53" s="258"/>
    </row>
    <row r="54" spans="1:14" x14ac:dyDescent="0.2">
      <c r="A54" s="259"/>
      <c r="B54" s="14"/>
      <c r="C54" s="63"/>
      <c r="D54" s="57"/>
      <c r="E54" s="64"/>
      <c r="F54" s="65"/>
      <c r="G54" s="65"/>
      <c r="H54" s="58"/>
      <c r="I54" s="66"/>
      <c r="J54" s="60"/>
      <c r="K54" s="58"/>
      <c r="L54" s="67"/>
      <c r="M54" s="260"/>
    </row>
    <row r="55" spans="1:14" x14ac:dyDescent="0.2">
      <c r="A55" s="259" t="s">
        <v>266</v>
      </c>
      <c r="B55" s="14"/>
      <c r="C55" s="63"/>
      <c r="D55" s="68">
        <f>'QUINCENA 1 '!D55+'QUINCENA 2'!D55</f>
        <v>20.630078295974254</v>
      </c>
      <c r="E55" s="68">
        <f>'QUINCENA 1 '!E55+'QUINCENA 2'!E55</f>
        <v>584.17876228805176</v>
      </c>
      <c r="F55" s="68">
        <f>'QUINCENA 1 '!F55+'QUINCENA 2'!F55</f>
        <v>20.125830436076864</v>
      </c>
      <c r="G55" s="68">
        <f>'QUINCENA 1 '!G55+'QUINCENA 2'!G55</f>
        <v>21.234232371181189</v>
      </c>
      <c r="H55" s="69">
        <f t="shared" ref="H55:H85" si="0">F55/$F$91</f>
        <v>2.4980367729979486E-4</v>
      </c>
      <c r="I55" s="66">
        <f>'QUINCENA 1 '!I55+'QUINCENA 2'!I55</f>
        <v>16</v>
      </c>
      <c r="J55" s="69">
        <f t="shared" ref="J55:J85" si="1">+K55/$K$91</f>
        <v>2.4980367729979491E-4</v>
      </c>
      <c r="K55" s="70">
        <f>L55*0.9478</f>
        <v>20.125805441405532</v>
      </c>
      <c r="L55" s="71">
        <f t="shared" ref="L55:L85" si="2">H55*MAX($G$53,$G$91)+M55</f>
        <v>21.234232371181189</v>
      </c>
      <c r="M55" s="261"/>
      <c r="N55" s="13"/>
    </row>
    <row r="56" spans="1:14" x14ac:dyDescent="0.2">
      <c r="A56" s="259" t="s">
        <v>267</v>
      </c>
      <c r="B56" s="14"/>
      <c r="C56" s="63"/>
      <c r="D56" s="68">
        <f>'QUINCENA 1 '!D56+'QUINCENA 2'!D56</f>
        <v>4049.2866679417089</v>
      </c>
      <c r="E56" s="68">
        <f>'QUINCENA 1 '!E56+'QUINCENA 2'!E56</f>
        <v>114663.02938313624</v>
      </c>
      <c r="F56" s="68">
        <f>'QUINCENA 1 '!F56+'QUINCENA 2'!F56</f>
        <v>3958.0849221225535</v>
      </c>
      <c r="G56" s="68">
        <f>'QUINCENA 1 '!G56+'QUINCENA 2'!G56</f>
        <v>4176.0709078895616</v>
      </c>
      <c r="H56" s="69">
        <f t="shared" si="0"/>
        <v>4.9128117806194846E-2</v>
      </c>
      <c r="I56" s="66">
        <f>'QUINCENA 1 '!I56+'QUINCENA 2'!I56</f>
        <v>27</v>
      </c>
      <c r="J56" s="69">
        <f t="shared" si="1"/>
        <v>4.9128117806194846E-2</v>
      </c>
      <c r="K56" s="70">
        <f t="shared" ref="K56:K85" si="3">L56*0.9478</f>
        <v>3958.080006497727</v>
      </c>
      <c r="L56" s="71">
        <f t="shared" si="2"/>
        <v>4176.0709078895625</v>
      </c>
      <c r="M56" s="261"/>
      <c r="N56" s="13"/>
    </row>
    <row r="57" spans="1:14" x14ac:dyDescent="0.2">
      <c r="A57" s="259" t="s">
        <v>247</v>
      </c>
      <c r="B57" s="14"/>
      <c r="C57" s="63"/>
      <c r="D57" s="68">
        <f>'QUINCENA 1 '!D57+'QUINCENA 2'!D57</f>
        <v>959.15754034596353</v>
      </c>
      <c r="E57" s="68">
        <f>'QUINCENA 1 '!E57+'QUINCENA 2'!E57</f>
        <v>27160.316927536704</v>
      </c>
      <c r="F57" s="68">
        <f>'QUINCENA 1 '!F57+'QUINCENA 2'!F57</f>
        <v>938.29867456552574</v>
      </c>
      <c r="G57" s="68">
        <f>'QUINCENA 1 '!G57+'QUINCENA 2'!G57</f>
        <v>989.97416044907766</v>
      </c>
      <c r="H57" s="69">
        <f t="shared" si="0"/>
        <v>1.1646250327729663E-2</v>
      </c>
      <c r="I57" s="66">
        <f>'QUINCENA 1 '!I57+'QUINCENA 2'!I57</f>
        <v>29</v>
      </c>
      <c r="J57" s="69">
        <f t="shared" si="1"/>
        <v>1.1646250327729663E-2</v>
      </c>
      <c r="K57" s="70">
        <f t="shared" si="3"/>
        <v>938.2975092736358</v>
      </c>
      <c r="L57" s="71">
        <f t="shared" si="2"/>
        <v>989.97416044907766</v>
      </c>
      <c r="M57" s="261"/>
      <c r="N57" s="13"/>
    </row>
    <row r="58" spans="1:14" x14ac:dyDescent="0.2">
      <c r="A58" s="259" t="s">
        <v>248</v>
      </c>
      <c r="B58" s="14"/>
      <c r="C58" s="63"/>
      <c r="D58" s="68">
        <f>'QUINCENA 1 '!D58+'QUINCENA 2'!D58</f>
        <v>2644.378293182921</v>
      </c>
      <c r="E58" s="68">
        <f>'QUINCENA 1 '!E58+'QUINCENA 2'!E58</f>
        <v>74880.454459275585</v>
      </c>
      <c r="F58" s="68">
        <f>'QUINCENA 1 '!F58+'QUINCENA 2'!F58</f>
        <v>2586.7960380144696</v>
      </c>
      <c r="G58" s="68">
        <f>'QUINCENA 1 '!G58+'QUINCENA 2'!G58</f>
        <v>2729.2602082936628</v>
      </c>
      <c r="H58" s="69">
        <f t="shared" si="0"/>
        <v>3.2107552767721551E-2</v>
      </c>
      <c r="I58" s="66">
        <f>'QUINCENA 1 '!I58+'QUINCENA 2'!I58</f>
        <v>28</v>
      </c>
      <c r="J58" s="69">
        <f t="shared" si="1"/>
        <v>3.2107552767721557E-2</v>
      </c>
      <c r="K58" s="70">
        <f t="shared" si="3"/>
        <v>2586.7928254207341</v>
      </c>
      <c r="L58" s="71">
        <f t="shared" si="2"/>
        <v>2729.2602082936633</v>
      </c>
      <c r="M58" s="261"/>
      <c r="N58" s="13"/>
    </row>
    <row r="59" spans="1:14" x14ac:dyDescent="0.2">
      <c r="A59" s="259" t="s">
        <v>268</v>
      </c>
      <c r="B59" s="14"/>
      <c r="C59" s="63"/>
      <c r="D59" s="68">
        <f>'QUINCENA 1 '!D59+'QUINCENA 2'!D59</f>
        <v>2124.216768310313</v>
      </c>
      <c r="E59" s="68">
        <f>'QUINCENA 1 '!E59+'QUINCENA 2'!E59</f>
        <v>60151.12035639715</v>
      </c>
      <c r="F59" s="68">
        <f>'QUINCENA 1 '!F59+'QUINCENA 2'!F59</f>
        <v>2075.9691988733721</v>
      </c>
      <c r="G59" s="68">
        <f>'QUINCENA 1 '!G59+'QUINCENA 2'!G59</f>
        <v>2190.3002961444445</v>
      </c>
      <c r="H59" s="69">
        <f t="shared" si="0"/>
        <v>2.5767122578459197E-2</v>
      </c>
      <c r="I59" s="66">
        <f>'QUINCENA 1 '!I59+'QUINCENA 2'!I59</f>
        <v>26</v>
      </c>
      <c r="J59" s="69">
        <f t="shared" si="1"/>
        <v>2.5767122578459197E-2</v>
      </c>
      <c r="K59" s="70">
        <f t="shared" si="3"/>
        <v>2075.9666206857046</v>
      </c>
      <c r="L59" s="71">
        <f t="shared" si="2"/>
        <v>2190.3002961444445</v>
      </c>
      <c r="M59" s="261"/>
      <c r="N59" s="13"/>
    </row>
    <row r="60" spans="1:14" x14ac:dyDescent="0.2">
      <c r="A60" s="259" t="s">
        <v>250</v>
      </c>
      <c r="B60" s="14"/>
      <c r="C60" s="63"/>
      <c r="D60" s="68">
        <f>'QUINCENA 1 '!D60+'QUINCENA 2'!D60</f>
        <v>8518.2338912263403</v>
      </c>
      <c r="E60" s="68">
        <f>'QUINCENA 1 '!E60+'QUINCENA 2'!E60</f>
        <v>241209.52233263152</v>
      </c>
      <c r="F60" s="68">
        <f>'QUINCENA 1 '!F60+'QUINCENA 2'!F60</f>
        <v>8334.0397116396671</v>
      </c>
      <c r="G60" s="68">
        <f>'QUINCENA 1 '!G60+'QUINCENA 2'!G60</f>
        <v>8793.0252811026257</v>
      </c>
      <c r="H60" s="69">
        <f t="shared" si="0"/>
        <v>0.1034428752315341</v>
      </c>
      <c r="I60" s="66">
        <f>'QUINCENA 1 '!I60+'QUINCENA 2'!I60</f>
        <v>28</v>
      </c>
      <c r="J60" s="69">
        <f t="shared" si="1"/>
        <v>0.1034428752315341</v>
      </c>
      <c r="K60" s="70">
        <f t="shared" si="3"/>
        <v>8334.0293614290676</v>
      </c>
      <c r="L60" s="71">
        <f t="shared" si="2"/>
        <v>8793.0252811026257</v>
      </c>
      <c r="M60" s="261"/>
      <c r="N60" s="13"/>
    </row>
    <row r="61" spans="1:14" x14ac:dyDescent="0.2">
      <c r="A61" s="259" t="s">
        <v>251</v>
      </c>
      <c r="B61" s="14"/>
      <c r="C61" s="63"/>
      <c r="D61" s="68">
        <f>'QUINCENA 1 '!D61+'QUINCENA 2'!D61</f>
        <v>1103.6725796574178</v>
      </c>
      <c r="E61" s="68">
        <f>'QUINCENA 1 '!E61+'QUINCENA 2'!E61</f>
        <v>31252.527125956003</v>
      </c>
      <c r="F61" s="68">
        <f>'QUINCENA 1 '!F61+'QUINCENA 2'!F61</f>
        <v>1080.2844716198706</v>
      </c>
      <c r="G61" s="68">
        <f>'QUINCENA 1 '!G61+'QUINCENA 2'!G61</f>
        <v>1139.7796264960748</v>
      </c>
      <c r="H61" s="69">
        <f t="shared" si="0"/>
        <v>1.340859123292471E-2</v>
      </c>
      <c r="I61" s="66">
        <f>'QUINCENA 1 '!I61+'QUINCENA 2'!I61</f>
        <v>31</v>
      </c>
      <c r="J61" s="69">
        <f t="shared" si="1"/>
        <v>1.3408591232924712E-2</v>
      </c>
      <c r="K61" s="70">
        <f>L61*0.9478</f>
        <v>1080.2831299929796</v>
      </c>
      <c r="L61" s="71">
        <f t="shared" si="2"/>
        <v>1139.7796264960748</v>
      </c>
      <c r="M61" s="261"/>
      <c r="N61" s="13"/>
    </row>
    <row r="62" spans="1:14" x14ac:dyDescent="0.2">
      <c r="A62" s="259" t="s">
        <v>269</v>
      </c>
      <c r="B62" s="14"/>
      <c r="C62" s="63"/>
      <c r="D62" s="68">
        <f>'QUINCENA 1 '!D62+'QUINCENA 2'!D62</f>
        <v>10285.996324755832</v>
      </c>
      <c r="E62" s="68">
        <f>'QUINCENA 1 '!E62+'QUINCENA 2'!E62</f>
        <v>291266.97997398674</v>
      </c>
      <c r="F62" s="68">
        <f>'QUINCENA 1 '!F62+'QUINCENA 2'!F62</f>
        <v>10062.965685633466</v>
      </c>
      <c r="G62" s="68">
        <f>'QUINCENA 1 '!G62+'QUINCENA 2'!G62</f>
        <v>10617.169432617768</v>
      </c>
      <c r="H62" s="69">
        <f t="shared" si="0"/>
        <v>0.12490246505837602</v>
      </c>
      <c r="I62" s="66">
        <f>'QUINCENA 1 '!I62+'QUINCENA 2'!I62</f>
        <v>31</v>
      </c>
      <c r="J62" s="69">
        <f t="shared" si="1"/>
        <v>0.12490246505837603</v>
      </c>
      <c r="K62" s="70">
        <f t="shared" si="3"/>
        <v>10062.953188235122</v>
      </c>
      <c r="L62" s="71">
        <f t="shared" si="2"/>
        <v>10617.169432617769</v>
      </c>
      <c r="M62" s="261"/>
      <c r="N62" s="13"/>
    </row>
    <row r="63" spans="1:14" x14ac:dyDescent="0.2">
      <c r="A63" s="259" t="s">
        <v>270</v>
      </c>
      <c r="B63" s="14"/>
      <c r="C63" s="63"/>
      <c r="D63" s="68">
        <f>'QUINCENA 1 '!D63+'QUINCENA 2'!D63</f>
        <v>891.85037745752015</v>
      </c>
      <c r="E63" s="68">
        <f>'QUINCENA 1 '!E63+'QUINCENA 2'!E63</f>
        <v>25254.390321481897</v>
      </c>
      <c r="F63" s="68">
        <f>'QUINCENA 1 '!F63+'QUINCENA 2'!F63</f>
        <v>871.36346195424017</v>
      </c>
      <c r="G63" s="68">
        <f>'QUINCENA 1 '!G63+'QUINCENA 2'!G63</f>
        <v>919.35258471252314</v>
      </c>
      <c r="H63" s="69">
        <f t="shared" si="0"/>
        <v>1.0815444249727045E-2</v>
      </c>
      <c r="I63" s="66">
        <f>'QUINCENA 1 '!I63+'QUINCENA 2'!I63</f>
        <v>25</v>
      </c>
      <c r="J63" s="69">
        <f t="shared" si="1"/>
        <v>1.0815444249727045E-2</v>
      </c>
      <c r="K63" s="70">
        <f t="shared" si="3"/>
        <v>871.36237979052942</v>
      </c>
      <c r="L63" s="71">
        <f t="shared" si="2"/>
        <v>919.35258471252314</v>
      </c>
      <c r="M63" s="261"/>
      <c r="N63" s="13"/>
    </row>
    <row r="64" spans="1:14" x14ac:dyDescent="0.2">
      <c r="A64" s="259" t="s">
        <v>254</v>
      </c>
      <c r="B64" s="14"/>
      <c r="C64" s="63"/>
      <c r="D64" s="68">
        <f>'QUINCENA 1 '!D64+'QUINCENA 2'!D64</f>
        <v>18089.518727184037</v>
      </c>
      <c r="E64" s="68">
        <f>'QUINCENA 1 '!E64+'QUINCENA 2'!E64</f>
        <v>512238.12672078155</v>
      </c>
      <c r="F64" s="68">
        <f>'QUINCENA 1 '!F64+'QUINCENA 2'!F64</f>
        <v>17704.641225576404</v>
      </c>
      <c r="G64" s="68">
        <f>'QUINCENA 1 '!G64+'QUINCENA 2'!G64</f>
        <v>18679.699554577306</v>
      </c>
      <c r="H64" s="69">
        <f t="shared" si="0"/>
        <v>0.21975165186200624</v>
      </c>
      <c r="I64" s="66">
        <f>'QUINCENA 1 '!I64+'QUINCENA 2'!I64</f>
        <v>31</v>
      </c>
      <c r="J64" s="69">
        <f t="shared" si="1"/>
        <v>0.21975165186200626</v>
      </c>
      <c r="K64" s="70">
        <f t="shared" si="3"/>
        <v>17704.619237828374</v>
      </c>
      <c r="L64" s="71">
        <f t="shared" si="2"/>
        <v>18679.69955457731</v>
      </c>
      <c r="M64" s="261"/>
      <c r="N64" s="13"/>
    </row>
    <row r="65" spans="1:14" x14ac:dyDescent="0.2">
      <c r="A65" s="259" t="s">
        <v>255</v>
      </c>
      <c r="B65" s="14"/>
      <c r="C65" s="63"/>
      <c r="D65" s="68">
        <f>'QUINCENA 1 '!D65+'QUINCENA 2'!D65</f>
        <v>1340.8763047795269</v>
      </c>
      <c r="E65" s="68">
        <f>'QUINCENA 1 '!E65+'QUINCENA 2'!E65</f>
        <v>37969.388621289705</v>
      </c>
      <c r="F65" s="68">
        <f>'QUINCENA 1 '!F65+'QUINCENA 2'!F65</f>
        <v>1312.5383595650815</v>
      </c>
      <c r="G65" s="68">
        <f>'QUINCENA 1 '!G65+'QUINCENA 2'!G65</f>
        <v>1384.8245721644248</v>
      </c>
      <c r="H65" s="69">
        <f t="shared" si="0"/>
        <v>1.6291348069228336E-2</v>
      </c>
      <c r="I65" s="66">
        <f>'QUINCENA 1 '!I65+'QUINCENA 2'!I65</f>
        <v>29</v>
      </c>
      <c r="J65" s="69">
        <f t="shared" si="1"/>
        <v>1.6291348069228336E-2</v>
      </c>
      <c r="K65" s="70">
        <f t="shared" si="3"/>
        <v>1312.5367294974419</v>
      </c>
      <c r="L65" s="71">
        <f t="shared" si="2"/>
        <v>1384.8245721644248</v>
      </c>
      <c r="M65" s="261"/>
      <c r="N65" s="13"/>
    </row>
    <row r="66" spans="1:14" x14ac:dyDescent="0.2">
      <c r="A66" s="259" t="s">
        <v>256</v>
      </c>
      <c r="B66" s="14"/>
      <c r="C66" s="63"/>
      <c r="D66" s="68">
        <f>'QUINCENA 1 '!D66+'QUINCENA 2'!D66</f>
        <v>263.14320536542277</v>
      </c>
      <c r="E66" s="68">
        <f>'QUINCENA 1 '!E66+'QUINCENA 2'!E66</f>
        <v>7451.38577805983</v>
      </c>
      <c r="F66" s="68">
        <f>'QUINCENA 1 '!F66+'QUINCENA 2'!F66</f>
        <v>257.64299276433104</v>
      </c>
      <c r="G66" s="68">
        <f>'QUINCENA 1 '!G66+'QUINCENA 2'!G66</f>
        <v>271.83231989063665</v>
      </c>
      <c r="H66" s="69">
        <f t="shared" si="0"/>
        <v>3.1978887642660713E-3</v>
      </c>
      <c r="I66" s="66">
        <f>'QUINCENA 1 '!I66+'QUINCENA 2'!I66</f>
        <v>24</v>
      </c>
      <c r="J66" s="69">
        <f t="shared" si="1"/>
        <v>3.1978887642660717E-3</v>
      </c>
      <c r="K66" s="70">
        <f t="shared" si="3"/>
        <v>257.64267279234548</v>
      </c>
      <c r="L66" s="71">
        <f t="shared" si="2"/>
        <v>271.83231989063671</v>
      </c>
      <c r="M66" s="261"/>
      <c r="N66" s="13"/>
    </row>
    <row r="67" spans="1:14" x14ac:dyDescent="0.2">
      <c r="A67" s="259" t="s">
        <v>271</v>
      </c>
      <c r="B67" s="14"/>
      <c r="C67" s="63"/>
      <c r="D67" s="68">
        <f>'QUINCENA 1 '!D67+'QUINCENA 2'!D67</f>
        <v>10911.519475126828</v>
      </c>
      <c r="E67" s="68">
        <f>'QUINCENA 1 '!E67+'QUINCENA 2'!E67</f>
        <v>308979.82306278683</v>
      </c>
      <c r="F67" s="68">
        <f>'QUINCENA 1 '!F67+'QUINCENA 2'!F67</f>
        <v>10685.312182113292</v>
      </c>
      <c r="G67" s="68">
        <f>'QUINCENA 1 '!G67+'QUINCENA 2'!G67</f>
        <v>11273.790791106127</v>
      </c>
      <c r="H67" s="69">
        <f t="shared" si="0"/>
        <v>0.13262708759601918</v>
      </c>
      <c r="I67" s="66">
        <f>'QUINCENA 1 '!I67+'QUINCENA 2'!I67</f>
        <v>31</v>
      </c>
      <c r="J67" s="69">
        <f t="shared" si="1"/>
        <v>0.13262708759601918</v>
      </c>
      <c r="K67" s="70">
        <f t="shared" si="3"/>
        <v>10685.298911810385</v>
      </c>
      <c r="L67" s="71">
        <f t="shared" si="2"/>
        <v>11273.790791106125</v>
      </c>
      <c r="M67" s="261"/>
      <c r="N67" s="13"/>
    </row>
    <row r="68" spans="1:14" x14ac:dyDescent="0.2">
      <c r="A68" s="259" t="s">
        <v>258</v>
      </c>
      <c r="B68" s="14"/>
      <c r="C68" s="63"/>
      <c r="D68" s="68">
        <f>'QUINCENA 1 '!D68+'QUINCENA 2'!D68</f>
        <v>7784.5751868768002</v>
      </c>
      <c r="E68" s="68">
        <f>'QUINCENA 1 '!E68+'QUINCENA 2'!E68</f>
        <v>220434.62135068013</v>
      </c>
      <c r="F68" s="68">
        <f>'QUINCENA 1 '!F68+'QUINCENA 2'!F68</f>
        <v>7614.517208962754</v>
      </c>
      <c r="G68" s="68">
        <f>'QUINCENA 1 '!G68+'QUINCENA 2'!G68</f>
        <v>8033.876083922285</v>
      </c>
      <c r="H68" s="69">
        <f t="shared" si="0"/>
        <v>9.4512095076174654E-2</v>
      </c>
      <c r="I68" s="66">
        <f>'QUINCENA 1 '!I68+'QUINCENA 2'!I68</f>
        <v>29</v>
      </c>
      <c r="J68" s="69">
        <f t="shared" si="1"/>
        <v>9.4512095076174654E-2</v>
      </c>
      <c r="K68" s="70">
        <f t="shared" si="3"/>
        <v>7614.5077523415412</v>
      </c>
      <c r="L68" s="71">
        <f t="shared" si="2"/>
        <v>8033.876083922285</v>
      </c>
      <c r="M68" s="261"/>
      <c r="N68" s="13"/>
    </row>
    <row r="69" spans="1:14" x14ac:dyDescent="0.2">
      <c r="A69" s="259" t="s">
        <v>272</v>
      </c>
      <c r="B69" s="14"/>
      <c r="C69" s="63"/>
      <c r="D69" s="68">
        <f>'QUINCENA 1 '!D69+'QUINCENA 2'!D69</f>
        <v>2306.0108334059792</v>
      </c>
      <c r="E69" s="68">
        <f>'QUINCENA 1 '!E69+'QUINCENA 2'!E69</f>
        <v>65298.955009047189</v>
      </c>
      <c r="F69" s="68">
        <f>'QUINCENA 1 '!F69+'QUINCENA 2'!F69</f>
        <v>2257.461831194239</v>
      </c>
      <c r="G69" s="68">
        <f>'QUINCENA 1 '!G69+'QUINCENA 2'!G69</f>
        <v>2381.7883811006977</v>
      </c>
      <c r="H69" s="69">
        <f t="shared" si="0"/>
        <v>2.8019825993633642E-2</v>
      </c>
      <c r="I69" s="66">
        <f>'QUINCENA 1 '!I69+'QUINCENA 2'!I69</f>
        <v>28</v>
      </c>
      <c r="J69" s="69">
        <f t="shared" si="1"/>
        <v>2.8019825993633646E-2</v>
      </c>
      <c r="K69" s="70">
        <f t="shared" si="3"/>
        <v>2257.4590276072418</v>
      </c>
      <c r="L69" s="71">
        <f t="shared" si="2"/>
        <v>2381.7883811006982</v>
      </c>
      <c r="M69" s="261"/>
      <c r="N69" s="13"/>
    </row>
    <row r="70" spans="1:14" x14ac:dyDescent="0.2">
      <c r="A70" s="259" t="s">
        <v>273</v>
      </c>
      <c r="B70" s="14"/>
      <c r="C70" s="63"/>
      <c r="D70" s="68">
        <f>'QUINCENA 1 '!D70+'QUINCENA 2'!D70</f>
        <v>253.3468079907318</v>
      </c>
      <c r="E70" s="68">
        <f>'QUINCENA 1 '!E70+'QUINCENA 2'!E70</f>
        <v>7173.9826964464337</v>
      </c>
      <c r="F70" s="68">
        <f>'QUINCENA 1 '!F70+'QUINCENA 2'!F70</f>
        <v>247.86537304201465</v>
      </c>
      <c r="G70" s="68">
        <f>'QUINCENA 1 '!G70+'QUINCENA 2'!G70</f>
        <v>261.51621145078133</v>
      </c>
      <c r="H70" s="69">
        <f t="shared" si="0"/>
        <v>3.0765280398163948E-3</v>
      </c>
      <c r="I70" s="66">
        <f>'QUINCENA 1 '!I70+'QUINCENA 2'!I70</f>
        <v>31</v>
      </c>
      <c r="J70" s="69">
        <f t="shared" si="1"/>
        <v>3.0765280398163948E-3</v>
      </c>
      <c r="K70" s="70">
        <f t="shared" si="3"/>
        <v>247.86506521305054</v>
      </c>
      <c r="L70" s="71">
        <f t="shared" si="2"/>
        <v>261.51621145078133</v>
      </c>
      <c r="M70" s="261"/>
      <c r="N70" s="13"/>
    </row>
    <row r="71" spans="1:14" x14ac:dyDescent="0.2">
      <c r="A71" s="259" t="s">
        <v>274</v>
      </c>
      <c r="B71" s="14"/>
      <c r="C71" s="63"/>
      <c r="D71" s="68">
        <f>'QUINCENA 1 '!D71+'QUINCENA 2'!D71</f>
        <v>959.5336541077038</v>
      </c>
      <c r="E71" s="68">
        <f>'QUINCENA 1 '!E71+'QUINCENA 2'!E71</f>
        <v>27170.967283229045</v>
      </c>
      <c r="F71" s="68">
        <f>'QUINCENA 1 '!F71+'QUINCENA 2'!F71</f>
        <v>938.70709232809349</v>
      </c>
      <c r="G71" s="68">
        <f>'QUINCENA 1 '!G71+'QUINCENA 2'!G71</f>
        <v>990.40507124813394</v>
      </c>
      <c r="H71" s="69">
        <f t="shared" si="0"/>
        <v>1.1651319646945485E-2</v>
      </c>
      <c r="I71" s="66">
        <f>'QUINCENA 1 '!I71+'QUINCENA 2'!I71</f>
        <v>23</v>
      </c>
      <c r="J71" s="69">
        <f t="shared" si="1"/>
        <v>1.1651319646945485E-2</v>
      </c>
      <c r="K71" s="70">
        <f t="shared" si="3"/>
        <v>938.70592652898131</v>
      </c>
      <c r="L71" s="71">
        <f t="shared" si="2"/>
        <v>990.40507124813394</v>
      </c>
      <c r="M71" s="261"/>
      <c r="N71" s="13"/>
    </row>
    <row r="72" spans="1:14" x14ac:dyDescent="0.2">
      <c r="A72" s="259" t="s">
        <v>275</v>
      </c>
      <c r="B72" s="14"/>
      <c r="C72" s="63"/>
      <c r="D72" s="68">
        <f>'QUINCENA 1 '!D72+'QUINCENA 2'!D72</f>
        <v>6259.3193501845326</v>
      </c>
      <c r="E72" s="68">
        <f>'QUINCENA 1 '!E72+'QUINCENA 2'!E72</f>
        <v>177244.18580951256</v>
      </c>
      <c r="F72" s="68">
        <f>'QUINCENA 1 '!F72+'QUINCENA 2'!F72</f>
        <v>6127.9475777162652</v>
      </c>
      <c r="G72" s="68">
        <f>'QUINCENA 1 '!G72+'QUINCENA 2'!G72</f>
        <v>6465.4357114323793</v>
      </c>
      <c r="H72" s="69">
        <f t="shared" si="0"/>
        <v>7.606065469327733E-2</v>
      </c>
      <c r="I72" s="66">
        <f>'QUINCENA 1 '!I72+'QUINCENA 2'!I72</f>
        <v>31</v>
      </c>
      <c r="J72" s="69">
        <f t="shared" si="1"/>
        <v>7.606065469327733E-2</v>
      </c>
      <c r="K72" s="70">
        <f t="shared" si="3"/>
        <v>6127.9399672956097</v>
      </c>
      <c r="L72" s="71">
        <f t="shared" si="2"/>
        <v>6465.4357114323802</v>
      </c>
      <c r="M72" s="261"/>
      <c r="N72" s="13"/>
    </row>
    <row r="73" spans="1:14" x14ac:dyDescent="0.2">
      <c r="A73" s="259" t="s">
        <v>276</v>
      </c>
      <c r="B73" s="14"/>
      <c r="C73" s="63"/>
      <c r="D73" s="68">
        <f>'QUINCENA 1 '!D73+'QUINCENA 2'!D73</f>
        <v>3571.232541622297</v>
      </c>
      <c r="E73" s="68">
        <f>'QUINCENA 1 '!E73+'QUINCENA 2'!E73</f>
        <v>101126.04402547685</v>
      </c>
      <c r="F73" s="68">
        <f>'QUINCENA 1 '!F73+'QUINCENA 2'!F73</f>
        <v>3492.0281081240096</v>
      </c>
      <c r="G73" s="68">
        <f>'QUINCENA 1 '!G73+'QUINCENA 2'!G73</f>
        <v>3684.3466673395878</v>
      </c>
      <c r="H73" s="69">
        <f t="shared" si="0"/>
        <v>4.3343377328665653E-2</v>
      </c>
      <c r="I73" s="66">
        <f>'QUINCENA 1 '!I73+'QUINCENA 2'!I73</f>
        <v>29</v>
      </c>
      <c r="J73" s="69">
        <f t="shared" si="1"/>
        <v>4.3343377328665653E-2</v>
      </c>
      <c r="K73" s="70">
        <f t="shared" si="3"/>
        <v>3492.0237713044612</v>
      </c>
      <c r="L73" s="71">
        <f t="shared" si="2"/>
        <v>3684.3466673395878</v>
      </c>
      <c r="M73" s="261"/>
      <c r="N73" s="13"/>
    </row>
    <row r="74" spans="1:14" hidden="1" x14ac:dyDescent="0.2">
      <c r="A74" s="259" t="s">
        <v>219</v>
      </c>
      <c r="B74" s="14"/>
      <c r="C74" s="63"/>
      <c r="D74" s="68">
        <f>'QUINCENA 1 '!D74+'QUINCENA 2'!D74</f>
        <v>0</v>
      </c>
      <c r="E74" s="68">
        <f>'QUINCENA 1 '!E74+'QUINCENA 2'!E74</f>
        <v>0</v>
      </c>
      <c r="F74" s="68">
        <f>'QUINCENA 1 '!F74+'QUINCENA 2'!F74</f>
        <v>0</v>
      </c>
      <c r="G74" s="68">
        <f>'QUINCENA 1 '!G74+'QUINCENA 2'!G74</f>
        <v>0</v>
      </c>
      <c r="H74" s="69">
        <f t="shared" si="0"/>
        <v>0</v>
      </c>
      <c r="I74" s="66">
        <f>'QUINCENA 1 '!I74+'QUINCENA 2'!I74</f>
        <v>0</v>
      </c>
      <c r="J74" s="69">
        <f t="shared" si="1"/>
        <v>0</v>
      </c>
      <c r="K74" s="70">
        <f t="shared" si="3"/>
        <v>0</v>
      </c>
      <c r="L74" s="71">
        <f t="shared" si="2"/>
        <v>0</v>
      </c>
      <c r="M74" s="261"/>
      <c r="N74" s="13"/>
    </row>
    <row r="75" spans="1:14" hidden="1" x14ac:dyDescent="0.2">
      <c r="A75" s="259" t="s">
        <v>220</v>
      </c>
      <c r="B75" s="14"/>
      <c r="C75" s="63"/>
      <c r="D75" s="68">
        <f>'QUINCENA 1 '!D75+'QUINCENA 2'!D75</f>
        <v>0</v>
      </c>
      <c r="E75" s="68">
        <f>'QUINCENA 1 '!E75+'QUINCENA 2'!E75</f>
        <v>0</v>
      </c>
      <c r="F75" s="68">
        <f>'QUINCENA 1 '!F75+'QUINCENA 2'!F75</f>
        <v>0</v>
      </c>
      <c r="G75" s="68">
        <f>'QUINCENA 1 '!G75+'QUINCENA 2'!G75</f>
        <v>0</v>
      </c>
      <c r="H75" s="69">
        <f t="shared" si="0"/>
        <v>0</v>
      </c>
      <c r="I75" s="66">
        <f>'QUINCENA 1 '!I75+'QUINCENA 2'!I75</f>
        <v>0</v>
      </c>
      <c r="J75" s="69">
        <f t="shared" si="1"/>
        <v>0</v>
      </c>
      <c r="K75" s="70">
        <f t="shared" si="3"/>
        <v>0</v>
      </c>
      <c r="L75" s="71">
        <f t="shared" si="2"/>
        <v>0</v>
      </c>
      <c r="M75" s="261"/>
      <c r="N75" s="13"/>
    </row>
    <row r="76" spans="1:14" hidden="1" x14ac:dyDescent="0.2">
      <c r="A76" s="259" t="s">
        <v>221</v>
      </c>
      <c r="B76" s="14"/>
      <c r="C76" s="63"/>
      <c r="D76" s="68">
        <f>'QUINCENA 1 '!D76+'QUINCENA 2'!D76</f>
        <v>0</v>
      </c>
      <c r="E76" s="68">
        <f>'QUINCENA 1 '!E76+'QUINCENA 2'!E76</f>
        <v>0</v>
      </c>
      <c r="F76" s="68">
        <f>'QUINCENA 1 '!F76+'QUINCENA 2'!F76</f>
        <v>0</v>
      </c>
      <c r="G76" s="68">
        <f>'QUINCENA 1 '!G76+'QUINCENA 2'!G76</f>
        <v>0</v>
      </c>
      <c r="H76" s="69">
        <f t="shared" si="0"/>
        <v>0</v>
      </c>
      <c r="I76" s="66">
        <f>'QUINCENA 1 '!I76+'QUINCENA 2'!I76</f>
        <v>0</v>
      </c>
      <c r="J76" s="69">
        <f t="shared" si="1"/>
        <v>0</v>
      </c>
      <c r="K76" s="70">
        <f>L76*0.9478</f>
        <v>0</v>
      </c>
      <c r="L76" s="71">
        <f t="shared" si="2"/>
        <v>0</v>
      </c>
      <c r="M76" s="261"/>
      <c r="N76" s="13"/>
    </row>
    <row r="77" spans="1:14" hidden="1" x14ac:dyDescent="0.2">
      <c r="A77" s="259" t="s">
        <v>222</v>
      </c>
      <c r="B77" s="14"/>
      <c r="C77" s="63"/>
      <c r="D77" s="68">
        <f>'QUINCENA 1 '!D77+'QUINCENA 2'!D77</f>
        <v>0</v>
      </c>
      <c r="E77" s="68">
        <f>'QUINCENA 1 '!E77+'QUINCENA 2'!E77</f>
        <v>0</v>
      </c>
      <c r="F77" s="68">
        <f>'QUINCENA 1 '!F77+'QUINCENA 2'!F77</f>
        <v>0</v>
      </c>
      <c r="G77" s="68">
        <f>'QUINCENA 1 '!G77+'QUINCENA 2'!G77</f>
        <v>0</v>
      </c>
      <c r="H77" s="69">
        <f t="shared" si="0"/>
        <v>0</v>
      </c>
      <c r="I77" s="66">
        <f>'QUINCENA 1 '!I77+'QUINCENA 2'!I77</f>
        <v>0</v>
      </c>
      <c r="J77" s="69">
        <f t="shared" si="1"/>
        <v>0</v>
      </c>
      <c r="K77" s="70">
        <f t="shared" si="3"/>
        <v>0</v>
      </c>
      <c r="L77" s="71">
        <f t="shared" si="2"/>
        <v>0</v>
      </c>
      <c r="M77" s="261"/>
      <c r="N77" s="13"/>
    </row>
    <row r="78" spans="1:14" hidden="1" x14ac:dyDescent="0.2">
      <c r="A78" s="259" t="s">
        <v>223</v>
      </c>
      <c r="B78" s="14"/>
      <c r="C78" s="63"/>
      <c r="D78" s="68">
        <f>'QUINCENA 1 '!D78+'QUINCENA 2'!D78</f>
        <v>0</v>
      </c>
      <c r="E78" s="68">
        <f>'QUINCENA 1 '!E78+'QUINCENA 2'!E78</f>
        <v>0</v>
      </c>
      <c r="F78" s="68">
        <f>'QUINCENA 1 '!F78+'QUINCENA 2'!F78</f>
        <v>0</v>
      </c>
      <c r="G78" s="68">
        <f>'QUINCENA 1 '!G78+'QUINCENA 2'!G78</f>
        <v>0</v>
      </c>
      <c r="H78" s="69">
        <f t="shared" si="0"/>
        <v>0</v>
      </c>
      <c r="I78" s="66">
        <f>'QUINCENA 1 '!I78+'QUINCENA 2'!I78</f>
        <v>0</v>
      </c>
      <c r="J78" s="69">
        <f t="shared" si="1"/>
        <v>0</v>
      </c>
      <c r="K78" s="70">
        <f t="shared" si="3"/>
        <v>0</v>
      </c>
      <c r="L78" s="71">
        <f t="shared" si="2"/>
        <v>0</v>
      </c>
      <c r="M78" s="261"/>
      <c r="N78" s="13"/>
    </row>
    <row r="79" spans="1:14" hidden="1" x14ac:dyDescent="0.2">
      <c r="A79" s="259" t="s">
        <v>224</v>
      </c>
      <c r="B79" s="14"/>
      <c r="C79" s="63"/>
      <c r="D79" s="68">
        <f>'QUINCENA 1 '!D79+'QUINCENA 2'!D79</f>
        <v>0</v>
      </c>
      <c r="E79" s="68">
        <f>'QUINCENA 1 '!E79+'QUINCENA 2'!E79</f>
        <v>0</v>
      </c>
      <c r="F79" s="68">
        <f>'QUINCENA 1 '!F79+'QUINCENA 2'!F79</f>
        <v>0</v>
      </c>
      <c r="G79" s="68">
        <f>'QUINCENA 1 '!G79+'QUINCENA 2'!G79</f>
        <v>0</v>
      </c>
      <c r="H79" s="69">
        <f t="shared" si="0"/>
        <v>0</v>
      </c>
      <c r="I79" s="66">
        <f>'QUINCENA 1 '!I79+'QUINCENA 2'!I79</f>
        <v>0</v>
      </c>
      <c r="J79" s="69">
        <f t="shared" si="1"/>
        <v>0</v>
      </c>
      <c r="K79" s="70">
        <f>L79*0.9478</f>
        <v>0</v>
      </c>
      <c r="L79" s="71">
        <f t="shared" si="2"/>
        <v>0</v>
      </c>
      <c r="M79" s="261"/>
      <c r="N79" s="13"/>
    </row>
    <row r="80" spans="1:14" hidden="1" x14ac:dyDescent="0.2">
      <c r="A80" s="259" t="s">
        <v>225</v>
      </c>
      <c r="B80" s="14"/>
      <c r="C80" s="63"/>
      <c r="D80" s="68">
        <f>'QUINCENA 1 '!D80+'QUINCENA 2'!D80</f>
        <v>0</v>
      </c>
      <c r="E80" s="68">
        <f>'QUINCENA 1 '!E80+'QUINCENA 2'!E80</f>
        <v>0</v>
      </c>
      <c r="F80" s="68">
        <f>'QUINCENA 1 '!F80+'QUINCENA 2'!F80</f>
        <v>0</v>
      </c>
      <c r="G80" s="68">
        <f>'QUINCENA 1 '!G80+'QUINCENA 2'!G80</f>
        <v>0</v>
      </c>
      <c r="H80" s="69">
        <f t="shared" si="0"/>
        <v>0</v>
      </c>
      <c r="I80" s="66">
        <f>'QUINCENA 1 '!I80+'QUINCENA 2'!I80</f>
        <v>0</v>
      </c>
      <c r="J80" s="69">
        <f t="shared" si="1"/>
        <v>0</v>
      </c>
      <c r="K80" s="70">
        <f t="shared" si="3"/>
        <v>0</v>
      </c>
      <c r="L80" s="71">
        <f t="shared" si="2"/>
        <v>0</v>
      </c>
      <c r="M80" s="261"/>
      <c r="N80" s="13"/>
    </row>
    <row r="81" spans="1:14" hidden="1" x14ac:dyDescent="0.2">
      <c r="A81" s="259" t="s">
        <v>226</v>
      </c>
      <c r="B81" s="14"/>
      <c r="C81" s="63"/>
      <c r="D81" s="68">
        <f>'QUINCENA 1 '!D81+'QUINCENA 2'!D81</f>
        <v>0</v>
      </c>
      <c r="E81" s="68">
        <f>'QUINCENA 1 '!E81+'QUINCENA 2'!E81</f>
        <v>0</v>
      </c>
      <c r="F81" s="68">
        <f>'QUINCENA 1 '!F81+'QUINCENA 2'!F81</f>
        <v>0</v>
      </c>
      <c r="G81" s="68">
        <f>'QUINCENA 1 '!G81+'QUINCENA 2'!G81</f>
        <v>0</v>
      </c>
      <c r="H81" s="69">
        <f t="shared" si="0"/>
        <v>0</v>
      </c>
      <c r="I81" s="66">
        <f>'QUINCENA 1 '!I81+'QUINCENA 2'!I81</f>
        <v>0</v>
      </c>
      <c r="J81" s="69">
        <f t="shared" si="1"/>
        <v>0</v>
      </c>
      <c r="K81" s="70">
        <f t="shared" si="3"/>
        <v>0</v>
      </c>
      <c r="L81" s="71">
        <f t="shared" si="2"/>
        <v>0</v>
      </c>
      <c r="M81" s="261"/>
      <c r="N81" s="13"/>
    </row>
    <row r="82" spans="1:14" hidden="1" x14ac:dyDescent="0.2">
      <c r="A82" s="259" t="s">
        <v>227</v>
      </c>
      <c r="B82" s="14"/>
      <c r="C82" s="63"/>
      <c r="D82" s="68">
        <f>'QUINCENA 1 '!D82+'QUINCENA 2'!D82</f>
        <v>0</v>
      </c>
      <c r="E82" s="68">
        <f>'QUINCENA 1 '!E82+'QUINCENA 2'!E82</f>
        <v>0</v>
      </c>
      <c r="F82" s="68">
        <f>'QUINCENA 1 '!F82+'QUINCENA 2'!F82</f>
        <v>0</v>
      </c>
      <c r="G82" s="68">
        <f>'QUINCENA 1 '!G82+'QUINCENA 2'!G82</f>
        <v>0</v>
      </c>
      <c r="H82" s="69">
        <f>F82/$F$91</f>
        <v>0</v>
      </c>
      <c r="I82" s="66">
        <f>'QUINCENA 1 '!I82+'QUINCENA 2'!I82</f>
        <v>0</v>
      </c>
      <c r="J82" s="69">
        <f>+K82/$K$91</f>
        <v>0</v>
      </c>
      <c r="K82" s="70">
        <f>L82*0.9478</f>
        <v>0</v>
      </c>
      <c r="L82" s="71">
        <f>H82*MAX($G$53,$G$91)+M82</f>
        <v>0</v>
      </c>
      <c r="M82" s="261"/>
      <c r="N82" s="13"/>
    </row>
    <row r="83" spans="1:14" hidden="1" x14ac:dyDescent="0.2">
      <c r="A83" s="259" t="s">
        <v>228</v>
      </c>
      <c r="B83" s="14"/>
      <c r="C83" s="63"/>
      <c r="D83" s="68">
        <f>'QUINCENA 1 '!D83+'QUINCENA 2'!D83</f>
        <v>0</v>
      </c>
      <c r="E83" s="68">
        <f>'QUINCENA 1 '!E83+'QUINCENA 2'!E83</f>
        <v>0</v>
      </c>
      <c r="F83" s="68">
        <f>'QUINCENA 1 '!F83+'QUINCENA 2'!F83</f>
        <v>0</v>
      </c>
      <c r="G83" s="68">
        <f>'QUINCENA 1 '!G83+'QUINCENA 2'!G83</f>
        <v>0</v>
      </c>
      <c r="H83" s="69">
        <f>F83/$F$91</f>
        <v>0</v>
      </c>
      <c r="I83" s="66">
        <f>'QUINCENA 1 '!I83+'QUINCENA 2'!I83</f>
        <v>0</v>
      </c>
      <c r="J83" s="69">
        <f>+K83/$K$91</f>
        <v>0</v>
      </c>
      <c r="K83" s="70">
        <f>L83*0.9478</f>
        <v>0</v>
      </c>
      <c r="L83" s="71">
        <f>H83*MAX($G$53,$G$91)+M83</f>
        <v>0</v>
      </c>
      <c r="M83" s="261"/>
      <c r="N83" s="13"/>
    </row>
    <row r="84" spans="1:14" hidden="1" x14ac:dyDescent="0.2">
      <c r="A84" s="259" t="s">
        <v>229</v>
      </c>
      <c r="B84" s="14"/>
      <c r="C84" s="63"/>
      <c r="D84" s="68">
        <f>'QUINCENA 1 '!D84+'QUINCENA 2'!D84</f>
        <v>0</v>
      </c>
      <c r="E84" s="68">
        <f>'QUINCENA 1 '!E84+'QUINCENA 2'!E84</f>
        <v>0</v>
      </c>
      <c r="F84" s="68">
        <f>'QUINCENA 1 '!F84+'QUINCENA 2'!F84</f>
        <v>0</v>
      </c>
      <c r="G84" s="68">
        <f>'QUINCENA 1 '!G84+'QUINCENA 2'!G84</f>
        <v>0</v>
      </c>
      <c r="H84" s="69">
        <f>F84/$F$91</f>
        <v>0</v>
      </c>
      <c r="I84" s="66">
        <f>'QUINCENA 1 '!I84+'QUINCENA 2'!I84</f>
        <v>0</v>
      </c>
      <c r="J84" s="69">
        <f>+K84/$K$91</f>
        <v>0</v>
      </c>
      <c r="K84" s="70">
        <f>L84*0.9478</f>
        <v>0</v>
      </c>
      <c r="L84" s="71">
        <f>H84*MAX($G$53,$G$91)+M84</f>
        <v>0</v>
      </c>
      <c r="M84" s="261"/>
      <c r="N84" s="13"/>
    </row>
    <row r="85" spans="1:14" hidden="1" x14ac:dyDescent="0.2">
      <c r="A85" s="259" t="s">
        <v>230</v>
      </c>
      <c r="B85" s="14"/>
      <c r="C85" s="63"/>
      <c r="D85" s="68">
        <f>'QUINCENA 1 '!D85+'QUINCENA 2'!D85</f>
        <v>0</v>
      </c>
      <c r="E85" s="68">
        <f>'QUINCENA 1 '!E85+'QUINCENA 2'!E85</f>
        <v>0</v>
      </c>
      <c r="F85" s="68">
        <f>'QUINCENA 1 '!F85+'QUINCENA 2'!F85</f>
        <v>0</v>
      </c>
      <c r="G85" s="68">
        <f>'QUINCENA 1 '!G85+'QUINCENA 2'!G85</f>
        <v>0</v>
      </c>
      <c r="H85" s="69">
        <f t="shared" si="0"/>
        <v>0</v>
      </c>
      <c r="I85" s="66">
        <f>'QUINCENA 1 '!I85+'QUINCENA 2'!I85</f>
        <v>0</v>
      </c>
      <c r="J85" s="69">
        <f t="shared" si="1"/>
        <v>0</v>
      </c>
      <c r="K85" s="70">
        <f t="shared" si="3"/>
        <v>0</v>
      </c>
      <c r="L85" s="71">
        <f t="shared" si="2"/>
        <v>0</v>
      </c>
      <c r="M85" s="261"/>
      <c r="N85" s="13"/>
    </row>
    <row r="86" spans="1:14" hidden="1" x14ac:dyDescent="0.2">
      <c r="A86" s="259" t="s">
        <v>231</v>
      </c>
      <c r="B86" s="14"/>
      <c r="C86" s="63"/>
      <c r="D86" s="68">
        <f>'QUINCENA 1 '!D86+'QUINCENA 2'!D86</f>
        <v>0</v>
      </c>
      <c r="E86" s="68">
        <f>'QUINCENA 1 '!E86+'QUINCENA 2'!E86</f>
        <v>0</v>
      </c>
      <c r="F86" s="68">
        <f>'QUINCENA 1 '!F86+'QUINCENA 2'!F86</f>
        <v>0</v>
      </c>
      <c r="G86" s="68">
        <f>'QUINCENA 1 '!G86+'QUINCENA 2'!G86</f>
        <v>0</v>
      </c>
      <c r="H86" s="69">
        <f>F86/$F$91</f>
        <v>0</v>
      </c>
      <c r="I86" s="66">
        <f>'QUINCENA 1 '!I86+'QUINCENA 2'!I86</f>
        <v>0</v>
      </c>
      <c r="J86" s="69">
        <f>+K86/$K$91</f>
        <v>0</v>
      </c>
      <c r="K86" s="70">
        <f>L86*0.9478</f>
        <v>0</v>
      </c>
      <c r="L86" s="71">
        <f>H86*MAX($G$53,$G$91)+M86</f>
        <v>0</v>
      </c>
      <c r="M86" s="261"/>
      <c r="N86" s="13"/>
    </row>
    <row r="87" spans="1:14" hidden="1" x14ac:dyDescent="0.2">
      <c r="A87" s="259" t="s">
        <v>232</v>
      </c>
      <c r="B87" s="14"/>
      <c r="C87" s="63"/>
      <c r="D87" s="68">
        <f>'QUINCENA 1 '!D87+'QUINCENA 2'!D87</f>
        <v>0</v>
      </c>
      <c r="E87" s="68">
        <f>'QUINCENA 1 '!E87+'QUINCENA 2'!E87</f>
        <v>0</v>
      </c>
      <c r="F87" s="68">
        <f>'QUINCENA 1 '!F87+'QUINCENA 2'!F87</f>
        <v>0</v>
      </c>
      <c r="G87" s="68">
        <f>'QUINCENA 1 '!G87+'QUINCENA 2'!G87</f>
        <v>0</v>
      </c>
      <c r="H87" s="69">
        <f>F87/$F$91</f>
        <v>0</v>
      </c>
      <c r="I87" s="66">
        <f>'QUINCENA 1 '!I87+'QUINCENA 2'!I87</f>
        <v>0</v>
      </c>
      <c r="J87" s="69">
        <f>+K87/$K$91</f>
        <v>0</v>
      </c>
      <c r="K87" s="70">
        <f>L87*0.9478</f>
        <v>0</v>
      </c>
      <c r="L87" s="71">
        <f>H87*MAX($G$53,$G$91)+M87</f>
        <v>0</v>
      </c>
      <c r="M87" s="261"/>
      <c r="N87" s="13"/>
    </row>
    <row r="88" spans="1:14" hidden="1" x14ac:dyDescent="0.2">
      <c r="A88" s="259" t="s">
        <v>233</v>
      </c>
      <c r="B88" s="14"/>
      <c r="C88" s="63"/>
      <c r="D88" s="68">
        <f>'QUINCENA 1 '!D88+'QUINCENA 2'!D88</f>
        <v>0</v>
      </c>
      <c r="E88" s="68">
        <f>'QUINCENA 1 '!E88+'QUINCENA 2'!E88</f>
        <v>0</v>
      </c>
      <c r="F88" s="68">
        <f>'QUINCENA 1 '!F88+'QUINCENA 2'!F88</f>
        <v>0</v>
      </c>
      <c r="G88" s="68">
        <f>'QUINCENA 1 '!G88+'QUINCENA 2'!G88</f>
        <v>0</v>
      </c>
      <c r="H88" s="69">
        <f t="shared" ref="H88:H89" si="4">F88/$F$91</f>
        <v>0</v>
      </c>
      <c r="I88" s="66">
        <f>'QUINCENA 1 '!I88+'QUINCENA 2'!I88</f>
        <v>0</v>
      </c>
      <c r="J88" s="69">
        <f t="shared" ref="J88:J89" si="5">+K88/$K$91</f>
        <v>0</v>
      </c>
      <c r="K88" s="70">
        <f t="shared" ref="K88:K89" si="6">L88*0.9478</f>
        <v>0</v>
      </c>
      <c r="L88" s="71">
        <f t="shared" ref="L88:L89" si="7">H88*MAX($G$53,$G$91)+M88</f>
        <v>0</v>
      </c>
      <c r="M88" s="261"/>
      <c r="N88" s="13"/>
    </row>
    <row r="89" spans="1:14" hidden="1" x14ac:dyDescent="0.2">
      <c r="A89" s="259" t="s">
        <v>234</v>
      </c>
      <c r="B89" s="14"/>
      <c r="C89" s="63"/>
      <c r="D89" s="68">
        <f>'QUINCENA 1 '!D89+'QUINCENA 2'!D89</f>
        <v>0</v>
      </c>
      <c r="E89" s="68">
        <f>'QUINCENA 1 '!E89+'QUINCENA 2'!E89</f>
        <v>0</v>
      </c>
      <c r="F89" s="68">
        <f>'QUINCENA 1 '!F89+'QUINCENA 2'!F89</f>
        <v>0</v>
      </c>
      <c r="G89" s="68">
        <f>'QUINCENA 1 '!G89+'QUINCENA 2'!G89</f>
        <v>0</v>
      </c>
      <c r="H89" s="69">
        <f t="shared" si="4"/>
        <v>0</v>
      </c>
      <c r="I89" s="66">
        <f>'QUINCENA 1 '!I89+'QUINCENA 2'!I89</f>
        <v>0</v>
      </c>
      <c r="J89" s="69">
        <f t="shared" si="5"/>
        <v>0</v>
      </c>
      <c r="K89" s="70">
        <f t="shared" si="6"/>
        <v>0</v>
      </c>
      <c r="L89" s="71">
        <f t="shared" si="7"/>
        <v>0</v>
      </c>
      <c r="M89" s="261"/>
      <c r="N89" s="13"/>
    </row>
    <row r="90" spans="1:14" ht="13.5" thickBot="1" x14ac:dyDescent="0.25">
      <c r="A90" s="262"/>
      <c r="B90" s="263"/>
      <c r="C90" s="282"/>
      <c r="D90" s="264"/>
      <c r="E90" s="264"/>
      <c r="F90" s="264"/>
      <c r="G90" s="264"/>
      <c r="H90" s="265"/>
      <c r="I90" s="266"/>
      <c r="J90" s="265"/>
      <c r="K90" s="267"/>
      <c r="L90" s="268"/>
      <c r="M90" s="269"/>
      <c r="N90" s="13"/>
    </row>
    <row r="91" spans="1:14" ht="13.5" thickTop="1" x14ac:dyDescent="0.2">
      <c r="A91" s="62"/>
      <c r="C91" s="73" t="s">
        <v>3</v>
      </c>
      <c r="D91" s="247">
        <f>SUM(D55:D90)</f>
        <v>82336.498607817848</v>
      </c>
      <c r="E91" s="247">
        <f>SUM(E55:E90)</f>
        <v>2331510</v>
      </c>
      <c r="F91" s="247">
        <f>SUM(F55:F90)</f>
        <v>80566.589946245731</v>
      </c>
      <c r="G91" s="247">
        <f>SUM(G55:G90)</f>
        <v>85003.68209430929</v>
      </c>
      <c r="H91" s="249">
        <f>SUM(H55:H90)</f>
        <v>0.99999999999999989</v>
      </c>
      <c r="I91" s="74"/>
      <c r="J91" s="249">
        <f>SUM(J55:J90)</f>
        <v>0.99999999999999989</v>
      </c>
      <c r="K91" s="250">
        <f>SUM(K55:K90)</f>
        <v>80566.48988898634</v>
      </c>
      <c r="L91" s="250">
        <f>SUM(L55:L90)</f>
        <v>85003.682094309304</v>
      </c>
      <c r="M91" s="251">
        <f>SUM(M55:M87)</f>
        <v>0</v>
      </c>
      <c r="N91" s="72"/>
    </row>
    <row r="92" spans="1:14" x14ac:dyDescent="0.2">
      <c r="C92" s="73"/>
      <c r="D92" s="75"/>
      <c r="E92" s="75"/>
      <c r="F92" s="76"/>
      <c r="G92" s="77"/>
      <c r="H92" s="78"/>
    </row>
    <row r="93" spans="1:14" ht="13.5" thickBot="1" x14ac:dyDescent="0.25">
      <c r="A93" s="15" t="s">
        <v>27</v>
      </c>
      <c r="F93" s="106"/>
      <c r="G93" s="16"/>
      <c r="H93" s="78"/>
    </row>
    <row r="94" spans="1:14" ht="13.5" thickTop="1" x14ac:dyDescent="0.2">
      <c r="A94" s="812" t="s">
        <v>5</v>
      </c>
      <c r="B94" s="813"/>
      <c r="C94" s="814" t="s">
        <v>28</v>
      </c>
      <c r="D94" s="815"/>
      <c r="E94" s="106"/>
    </row>
    <row r="95" spans="1:14" x14ac:dyDescent="0.2">
      <c r="A95" s="273" t="s">
        <v>6</v>
      </c>
      <c r="B95" s="79" t="s">
        <v>7</v>
      </c>
      <c r="C95" s="80" t="s">
        <v>63</v>
      </c>
      <c r="D95" s="274" t="s">
        <v>15</v>
      </c>
      <c r="G95" s="14"/>
      <c r="H95" s="81"/>
    </row>
    <row r="96" spans="1:14" x14ac:dyDescent="0.2">
      <c r="A96" s="275">
        <f>F11</f>
        <v>41334</v>
      </c>
      <c r="B96" s="82">
        <f>G11</f>
        <v>41364</v>
      </c>
      <c r="C96" s="83">
        <f>+'QUINCENA 1 '!C95+'QUINCENA 2'!C95</f>
        <v>44499.654999999999</v>
      </c>
      <c r="D96" s="276">
        <f>C96*0.9478</f>
        <v>42176.773008999997</v>
      </c>
      <c r="F96" s="12"/>
      <c r="G96" s="12"/>
      <c r="H96" s="12"/>
    </row>
    <row r="97" spans="1:6" ht="13.5" thickBot="1" x14ac:dyDescent="0.25">
      <c r="A97" s="277"/>
      <c r="B97" s="278"/>
      <c r="C97" s="279"/>
      <c r="D97" s="280"/>
    </row>
    <row r="98" spans="1:6" ht="13.5" thickTop="1" x14ac:dyDescent="0.2">
      <c r="A98" s="270"/>
      <c r="B98" s="270"/>
      <c r="C98" s="271">
        <f>SUM(C96:C97)</f>
        <v>44499.654999999999</v>
      </c>
      <c r="D98" s="272">
        <f>SUM(D96:D97)</f>
        <v>42176.773008999997</v>
      </c>
    </row>
    <row r="99" spans="1:6" x14ac:dyDescent="0.2">
      <c r="A99" s="84"/>
      <c r="B99" s="84"/>
      <c r="C99" s="77"/>
      <c r="D99" s="85"/>
    </row>
    <row r="100" spans="1:6" ht="15.75" x14ac:dyDescent="0.25">
      <c r="A100" s="49" t="s">
        <v>29</v>
      </c>
    </row>
    <row r="101" spans="1:6" ht="13.5" thickBot="1" x14ac:dyDescent="0.25"/>
    <row r="102" spans="1:6" ht="13.5" thickTop="1" x14ac:dyDescent="0.2">
      <c r="A102" s="86" t="s">
        <v>30</v>
      </c>
      <c r="D102" s="451">
        <f>(F53-F91)/F53</f>
        <v>-1.2419215427922019E-6</v>
      </c>
      <c r="E102" s="10"/>
      <c r="F102" s="10" t="str">
        <f>IF(D102&gt;0,"Igasamex",IF(D102=0," ","Usuarios"))</f>
        <v>Usuarios</v>
      </c>
    </row>
    <row r="103" spans="1:6" x14ac:dyDescent="0.2">
      <c r="A103" s="86" t="s">
        <v>31</v>
      </c>
      <c r="D103" s="452">
        <f>(F53-D98)/F53</f>
        <v>0.47649732454379035</v>
      </c>
      <c r="E103" s="10" t="s">
        <v>126</v>
      </c>
      <c r="F103" s="10" t="str">
        <f>IF(D103&gt;0,"Igasamex",IF(D103=0," ","Pemex"))</f>
        <v>Igasamex</v>
      </c>
    </row>
    <row r="104" spans="1:6" x14ac:dyDescent="0.2">
      <c r="A104" s="86" t="s">
        <v>37</v>
      </c>
      <c r="D104" s="453">
        <f>(F91-D98)/F91</f>
        <v>0.47649797469223326</v>
      </c>
      <c r="E104" s="10" t="s">
        <v>126</v>
      </c>
      <c r="F104" s="10" t="str">
        <f>IF(D104&gt;0,"Usuarios",IF(D104=0," ","Pemex"))</f>
        <v>Usuarios</v>
      </c>
    </row>
    <row r="105" spans="1:6" ht="13.5" thickBot="1" x14ac:dyDescent="0.25">
      <c r="A105" s="86" t="s">
        <v>32</v>
      </c>
      <c r="D105" s="281">
        <f>'QUINCENA 1 '!D104</f>
        <v>979.14999294247696</v>
      </c>
      <c r="E105" s="11" t="s">
        <v>33</v>
      </c>
    </row>
    <row r="106" spans="1:6" ht="13.5" thickTop="1" x14ac:dyDescent="0.2"/>
  </sheetData>
  <mergeCells count="14">
    <mergeCell ref="A1:K1"/>
    <mergeCell ref="A2:K2"/>
    <mergeCell ref="A3:K3"/>
    <mergeCell ref="A4:K4"/>
    <mergeCell ref="A94:B94"/>
    <mergeCell ref="C94:D94"/>
    <mergeCell ref="A6:K6"/>
    <mergeCell ref="F9:G9"/>
    <mergeCell ref="I9:K9"/>
    <mergeCell ref="A51:C51"/>
    <mergeCell ref="D51:E51"/>
    <mergeCell ref="F51:G51"/>
    <mergeCell ref="I51:I52"/>
    <mergeCell ref="J51:L51"/>
  </mergeCells>
  <phoneticPr fontId="2" type="noConversion"/>
  <printOptions horizontalCentered="1"/>
  <pageMargins left="0.59055118110236227" right="0.39370078740157483" top="0.19685039370078741" bottom="0.19685039370078741" header="0" footer="0"/>
  <pageSetup scale="59" orientation="landscape" r:id="rId1"/>
  <headerFooter alignWithMargins="0">
    <oddFooter>&amp;LReporte de Balance de Medición y Facturación Igasamex&amp;RFSCI 7.5.9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J105"/>
  <sheetViews>
    <sheetView view="pageBreakPreview" topLeftCell="A25" zoomScale="115" zoomScaleNormal="85" workbookViewId="0">
      <selection activeCell="G73" sqref="G73"/>
    </sheetView>
  </sheetViews>
  <sheetFormatPr baseColWidth="10" defaultRowHeight="12.75" x14ac:dyDescent="0.2"/>
  <cols>
    <col min="1" max="1" width="12.7109375" customWidth="1"/>
    <col min="3" max="3" width="20" customWidth="1"/>
    <col min="4" max="4" width="14" customWidth="1"/>
    <col min="5" max="5" width="22.140625" customWidth="1"/>
    <col min="6" max="6" width="14.42578125" customWidth="1"/>
    <col min="7" max="7" width="17" customWidth="1"/>
    <col min="8" max="8" width="12.85546875" customWidth="1"/>
    <col min="10" max="10" width="17" customWidth="1"/>
  </cols>
  <sheetData>
    <row r="1" spans="1:10" ht="15.75" x14ac:dyDescent="0.25">
      <c r="A1" s="809" t="s">
        <v>0</v>
      </c>
      <c r="B1" s="809"/>
      <c r="C1" s="809"/>
      <c r="D1" s="809"/>
      <c r="E1" s="809"/>
      <c r="F1" s="809"/>
      <c r="G1" s="809"/>
      <c r="H1" s="809"/>
      <c r="I1" s="809"/>
      <c r="J1" s="809"/>
    </row>
    <row r="2" spans="1:10" x14ac:dyDescent="0.2">
      <c r="A2" s="810" t="s">
        <v>8</v>
      </c>
      <c r="B2" s="810"/>
      <c r="C2" s="810"/>
      <c r="D2" s="810"/>
      <c r="E2" s="810"/>
      <c r="F2" s="810"/>
      <c r="G2" s="810"/>
      <c r="H2" s="810"/>
      <c r="I2" s="810"/>
      <c r="J2" s="810"/>
    </row>
    <row r="3" spans="1:10" x14ac:dyDescent="0.2">
      <c r="A3" s="810" t="s">
        <v>9</v>
      </c>
      <c r="B3" s="810"/>
      <c r="C3" s="810"/>
      <c r="D3" s="810"/>
      <c r="E3" s="810"/>
      <c r="F3" s="810"/>
      <c r="G3" s="810"/>
      <c r="H3" s="810"/>
      <c r="I3" s="810"/>
      <c r="J3" s="810"/>
    </row>
    <row r="4" spans="1:10" x14ac:dyDescent="0.2">
      <c r="A4" s="811"/>
      <c r="B4" s="811"/>
      <c r="C4" s="811"/>
      <c r="D4" s="811"/>
      <c r="E4" s="811"/>
      <c r="F4" s="811"/>
      <c r="G4" s="811"/>
      <c r="H4" s="811"/>
      <c r="I4" s="811"/>
      <c r="J4" s="811"/>
    </row>
    <row r="5" spans="1:10" x14ac:dyDescent="0.2">
      <c r="A5" s="9"/>
      <c r="B5" s="9"/>
      <c r="C5" s="9"/>
      <c r="D5" s="9"/>
      <c r="E5" s="9"/>
      <c r="F5" s="9"/>
      <c r="G5" s="9"/>
      <c r="H5" s="9"/>
      <c r="I5" s="9"/>
    </row>
    <row r="6" spans="1:10" ht="15.75" x14ac:dyDescent="0.25">
      <c r="A6" s="816" t="s">
        <v>1</v>
      </c>
      <c r="B6" s="816"/>
      <c r="C6" s="816"/>
      <c r="D6" s="816"/>
      <c r="E6" s="816"/>
      <c r="F6" s="816"/>
      <c r="G6" s="816"/>
      <c r="H6" s="816"/>
      <c r="I6" s="816"/>
      <c r="J6" s="816"/>
    </row>
    <row r="8" spans="1:10" ht="13.5" thickBot="1" x14ac:dyDescent="0.25"/>
    <row r="9" spans="1:10" ht="13.5" thickTop="1" x14ac:dyDescent="0.2">
      <c r="A9" s="22" t="str">
        <f>'QUINCENA 1 '!A9</f>
        <v>SISTEMA:</v>
      </c>
      <c r="B9" s="23" t="s">
        <v>277</v>
      </c>
      <c r="C9" s="24"/>
      <c r="D9" s="25"/>
      <c r="E9" s="26" t="s">
        <v>12</v>
      </c>
      <c r="F9" s="817">
        <f>'QUINCENA 1 '!F9:G9</f>
        <v>40513</v>
      </c>
      <c r="G9" s="818"/>
      <c r="H9" s="27" t="s">
        <v>11</v>
      </c>
      <c r="I9" s="819">
        <f ca="1">TODAY()</f>
        <v>41463</v>
      </c>
      <c r="J9" s="820"/>
    </row>
    <row r="10" spans="1:10" ht="13.5" x14ac:dyDescent="0.25">
      <c r="A10" s="28" t="str">
        <f>'QUINCENA 1 '!A10</f>
        <v>CASETA NO.</v>
      </c>
      <c r="B10" s="29" t="s">
        <v>278</v>
      </c>
      <c r="C10" s="30"/>
      <c r="D10" s="31"/>
      <c r="E10" s="32"/>
      <c r="F10" s="33" t="s">
        <v>6</v>
      </c>
      <c r="G10" s="34" t="s">
        <v>7</v>
      </c>
      <c r="H10" s="35"/>
      <c r="I10" s="36"/>
      <c r="J10" s="37"/>
    </row>
    <row r="11" spans="1:10" ht="13.5" x14ac:dyDescent="0.25">
      <c r="A11" s="28" t="str">
        <f>'QUINCENA 1 '!A11</f>
        <v>EQUIPO:</v>
      </c>
      <c r="B11" s="29" t="s">
        <v>236</v>
      </c>
      <c r="C11" s="30"/>
      <c r="D11" s="31"/>
      <c r="E11" s="35" t="s">
        <v>13</v>
      </c>
      <c r="F11" s="38">
        <f>'QUINCENA 1 '!G11+1</f>
        <v>40527</v>
      </c>
      <c r="G11" s="38">
        <v>41364</v>
      </c>
      <c r="H11" s="35" t="str">
        <f>'QUINCENA 1 '!H11</f>
        <v>CALCULÓ:</v>
      </c>
      <c r="I11" s="29" t="str">
        <f>'QUINCENA 1 '!I11</f>
        <v>Ing. Octavio Muñoz</v>
      </c>
      <c r="J11" s="37"/>
    </row>
    <row r="12" spans="1:10" ht="13.5" x14ac:dyDescent="0.25">
      <c r="A12" s="28" t="str">
        <f>'QUINCENA 1 '!A12</f>
        <v>USUARIOS:</v>
      </c>
      <c r="B12" s="29" t="str">
        <f>'QUINCENA 1 '!B12</f>
        <v>Valchem</v>
      </c>
      <c r="C12" s="30"/>
      <c r="D12" s="31"/>
      <c r="E12" s="35"/>
      <c r="F12" s="39"/>
      <c r="G12" s="40"/>
      <c r="H12" s="35" t="str">
        <f>'QUINCENA 1 '!H12</f>
        <v>REVISÓ:</v>
      </c>
      <c r="I12" s="29" t="str">
        <f>'QUINCENA 1 '!I12</f>
        <v>Ing. Rafael González Domínguez</v>
      </c>
      <c r="J12" s="37"/>
    </row>
    <row r="13" spans="1:10" ht="13.5" x14ac:dyDescent="0.25">
      <c r="A13" s="28"/>
      <c r="B13" s="29" t="str">
        <f>'QUINCENA 1 '!B13</f>
        <v>Textiles ROMATEX</v>
      </c>
      <c r="C13" s="30"/>
      <c r="D13" s="31"/>
      <c r="E13" s="35"/>
      <c r="F13" s="39"/>
      <c r="G13" s="40"/>
      <c r="H13" s="35" t="str">
        <f>'QUINCENA 1 '!H13</f>
        <v>OPERADOR:</v>
      </c>
      <c r="I13" s="29">
        <f>'QUINCENA 1 '!I13</f>
        <v>0</v>
      </c>
      <c r="J13" s="37"/>
    </row>
    <row r="14" spans="1:10" ht="14.25" thickBot="1" x14ac:dyDescent="0.3">
      <c r="A14" s="41"/>
      <c r="B14" s="109" t="str">
        <f>'QUINCENA 1 '!B14</f>
        <v>PROESA</v>
      </c>
      <c r="C14" s="42"/>
      <c r="D14" s="43"/>
      <c r="E14" s="110"/>
      <c r="F14" s="111"/>
      <c r="G14" s="112"/>
      <c r="H14" s="110"/>
      <c r="I14" s="109">
        <f>'QUINCENA 1 '!I14</f>
        <v>0</v>
      </c>
      <c r="J14" s="48"/>
    </row>
    <row r="15" spans="1:10" ht="14.25" thickTop="1" x14ac:dyDescent="0.25">
      <c r="A15" s="28"/>
      <c r="B15" s="29" t="str">
        <f>'QUINCENA 1 '!B15</f>
        <v>TOTIS</v>
      </c>
      <c r="C15" s="30"/>
      <c r="D15" s="31"/>
      <c r="E15" s="35"/>
      <c r="F15" s="39"/>
      <c r="G15" s="40"/>
      <c r="H15" s="35"/>
      <c r="I15" s="29">
        <f>'QUINCENA 1 '!I15</f>
        <v>0</v>
      </c>
      <c r="J15" s="37"/>
    </row>
    <row r="16" spans="1:10" ht="13.5" x14ac:dyDescent="0.25">
      <c r="A16" s="28"/>
      <c r="B16" s="29" t="str">
        <f>'QUINCENA 1 '!B16</f>
        <v>TEXSA</v>
      </c>
      <c r="C16" s="30"/>
      <c r="D16" s="31"/>
      <c r="E16" s="35"/>
      <c r="F16" s="39"/>
      <c r="G16" s="40"/>
      <c r="H16" s="35"/>
      <c r="I16" s="29"/>
      <c r="J16" s="37"/>
    </row>
    <row r="17" spans="1:10" ht="13.5" x14ac:dyDescent="0.25">
      <c r="A17" s="28"/>
      <c r="B17" s="29" t="str">
        <f>'QUINCENA 1 '!B17</f>
        <v>VUVA</v>
      </c>
      <c r="C17" s="30"/>
      <c r="D17" s="31"/>
      <c r="E17" s="35"/>
      <c r="F17" s="39"/>
      <c r="G17" s="40"/>
      <c r="H17" s="35"/>
      <c r="I17" s="29"/>
      <c r="J17" s="37"/>
    </row>
    <row r="18" spans="1:10" ht="13.5" x14ac:dyDescent="0.25">
      <c r="A18" s="28"/>
      <c r="B18" s="29" t="str">
        <f>'QUINCENA 1 '!B18</f>
        <v>QUIMICA NOBLEZA</v>
      </c>
      <c r="C18" s="30"/>
      <c r="D18" s="31"/>
      <c r="E18" s="35"/>
      <c r="F18" s="39"/>
      <c r="G18" s="40"/>
      <c r="H18" s="35"/>
      <c r="I18" s="29"/>
      <c r="J18" s="37"/>
    </row>
    <row r="19" spans="1:10" ht="13.5" x14ac:dyDescent="0.25">
      <c r="A19" s="28"/>
      <c r="B19" s="29" t="str">
        <f>'QUINCENA 1 '!B19</f>
        <v>Industrial de Espumas</v>
      </c>
      <c r="C19" s="30"/>
      <c r="D19" s="31"/>
      <c r="E19" s="35"/>
      <c r="F19" s="39"/>
      <c r="G19" s="40"/>
      <c r="H19" s="35"/>
      <c r="I19" s="29"/>
      <c r="J19" s="37"/>
    </row>
    <row r="20" spans="1:10" ht="13.5" x14ac:dyDescent="0.25">
      <c r="A20" s="28"/>
      <c r="B20" s="29" t="str">
        <f>'QUINCENA 1 '!B20</f>
        <v>Textiles y Acabados de Mexico</v>
      </c>
      <c r="C20" s="30"/>
      <c r="D20" s="31"/>
      <c r="E20" s="35"/>
      <c r="F20" s="39"/>
      <c r="G20" s="40"/>
      <c r="H20" s="35"/>
      <c r="I20" s="29"/>
      <c r="J20" s="37"/>
    </row>
    <row r="21" spans="1:10" ht="13.5" x14ac:dyDescent="0.25">
      <c r="A21" s="28"/>
      <c r="B21" s="29" t="str">
        <f>'QUINCENA 1 '!B21</f>
        <v>PRUP</v>
      </c>
      <c r="C21" s="30"/>
      <c r="D21" s="31"/>
      <c r="E21" s="35"/>
      <c r="F21" s="39"/>
      <c r="G21" s="40"/>
      <c r="H21" s="35"/>
      <c r="I21" s="29"/>
      <c r="J21" s="37"/>
    </row>
    <row r="22" spans="1:10" ht="13.5" x14ac:dyDescent="0.25">
      <c r="A22" s="28"/>
      <c r="B22" s="29" t="str">
        <f>'QUINCENA 1 '!B22</f>
        <v>MEXCOAT</v>
      </c>
      <c r="C22" s="30"/>
      <c r="D22" s="31"/>
      <c r="E22" s="35"/>
      <c r="F22" s="39"/>
      <c r="G22" s="40"/>
      <c r="H22" s="35"/>
      <c r="I22" s="29"/>
      <c r="J22" s="37"/>
    </row>
    <row r="23" spans="1:10" ht="13.5" x14ac:dyDescent="0.25">
      <c r="A23" s="28"/>
      <c r="B23" s="29" t="str">
        <f>'QUINCENA 1 '!B23</f>
        <v>PREMEX</v>
      </c>
      <c r="C23" s="30"/>
      <c r="D23" s="31"/>
      <c r="E23" s="35"/>
      <c r="F23" s="39"/>
      <c r="G23" s="40"/>
      <c r="H23" s="35"/>
      <c r="I23" s="29"/>
      <c r="J23" s="37"/>
    </row>
    <row r="24" spans="1:10" ht="13.5" x14ac:dyDescent="0.25">
      <c r="A24" s="28"/>
      <c r="B24" s="29" t="str">
        <f>'QUINCENA 1 '!B24</f>
        <v>Comercializadora</v>
      </c>
      <c r="C24" s="30"/>
      <c r="D24" s="31"/>
      <c r="E24" s="35"/>
      <c r="F24" s="39"/>
      <c r="G24" s="40"/>
      <c r="H24" s="35"/>
      <c r="I24" s="29"/>
      <c r="J24" s="37"/>
    </row>
    <row r="25" spans="1:10" ht="13.5" x14ac:dyDescent="0.25">
      <c r="A25" s="28"/>
      <c r="B25" s="29" t="str">
        <f>'QUINCENA 1 '!B25</f>
        <v xml:space="preserve">FENO RESINAS, S.A. DE C.V.              </v>
      </c>
      <c r="C25" s="30"/>
      <c r="D25" s="31"/>
      <c r="E25" s="35"/>
      <c r="F25" s="39"/>
      <c r="G25" s="40"/>
      <c r="H25" s="35"/>
      <c r="I25" s="29"/>
      <c r="J25" s="37"/>
    </row>
    <row r="26" spans="1:10" ht="13.5" x14ac:dyDescent="0.25">
      <c r="A26" s="28"/>
      <c r="B26" s="29" t="str">
        <f>'QUINCENA 1 '!B26</f>
        <v>TEJIMAQ, S.A. DE C.V.</v>
      </c>
      <c r="C26" s="30"/>
      <c r="D26" s="31"/>
      <c r="E26" s="35"/>
      <c r="F26" s="39"/>
      <c r="G26" s="40"/>
      <c r="H26" s="35"/>
      <c r="I26" s="29"/>
      <c r="J26" s="37"/>
    </row>
    <row r="27" spans="1:10" ht="13.5" x14ac:dyDescent="0.25">
      <c r="A27" s="28"/>
      <c r="B27" s="29" t="str">
        <f>'QUINCENA 1 '!B27</f>
        <v>TECAMAC INDUSTRIAL</v>
      </c>
      <c r="C27" s="30"/>
      <c r="D27" s="31"/>
      <c r="E27" s="35"/>
      <c r="F27" s="39"/>
      <c r="G27" s="40"/>
      <c r="H27" s="35"/>
      <c r="I27" s="29"/>
      <c r="J27" s="37"/>
    </row>
    <row r="28" spans="1:10" ht="13.5" x14ac:dyDescent="0.25">
      <c r="A28" s="28"/>
      <c r="B28" s="29" t="str">
        <f>'QUINCENA 1 '!B28</f>
        <v>MOLIENDAS TIZAYUCA S.A. DE C.V.</v>
      </c>
      <c r="C28" s="30"/>
      <c r="D28" s="31"/>
      <c r="E28" s="35"/>
      <c r="F28" s="39"/>
      <c r="G28" s="40"/>
      <c r="H28" s="35"/>
      <c r="I28" s="29"/>
      <c r="J28" s="37"/>
    </row>
    <row r="29" spans="1:10" ht="13.5" x14ac:dyDescent="0.25">
      <c r="A29" s="28"/>
      <c r="B29" s="29" t="str">
        <f>'QUINCENA 1 '!B29</f>
        <v>ZINC Y SUS DERIVADOS</v>
      </c>
      <c r="C29" s="30"/>
      <c r="D29" s="31"/>
      <c r="E29" s="35"/>
      <c r="F29" s="39"/>
      <c r="G29" s="40"/>
      <c r="H29" s="35"/>
      <c r="I29" s="29"/>
      <c r="J29" s="37"/>
    </row>
    <row r="30" spans="1:10" ht="13.5" x14ac:dyDescent="0.25">
      <c r="A30" s="28"/>
      <c r="B30" s="29" t="str">
        <f>'QUINCENA 1 '!B30</f>
        <v>IMPERQUIMIA</v>
      </c>
      <c r="C30" s="30"/>
      <c r="D30" s="31"/>
      <c r="E30" s="35"/>
      <c r="F30" s="39"/>
      <c r="G30" s="40"/>
      <c r="H30" s="35"/>
      <c r="I30" s="29"/>
      <c r="J30" s="37"/>
    </row>
    <row r="31" spans="1:10" ht="13.5" hidden="1" x14ac:dyDescent="0.25">
      <c r="A31" s="28"/>
      <c r="B31" s="29" t="str">
        <f>'QUINCENA 1 '!B31</f>
        <v>Cliente 20</v>
      </c>
      <c r="C31" s="30"/>
      <c r="D31" s="31"/>
      <c r="E31" s="35"/>
      <c r="F31" s="39"/>
      <c r="G31" s="40"/>
      <c r="H31" s="35"/>
      <c r="I31" s="29"/>
      <c r="J31" s="37"/>
    </row>
    <row r="32" spans="1:10" ht="13.5" hidden="1" x14ac:dyDescent="0.25">
      <c r="A32" s="28"/>
      <c r="B32" s="29" t="str">
        <f>'QUINCENA 1 '!B32</f>
        <v>Cliente 21</v>
      </c>
      <c r="C32" s="30"/>
      <c r="D32" s="31"/>
      <c r="E32" s="35"/>
      <c r="F32" s="39"/>
      <c r="G32" s="40"/>
      <c r="H32" s="35"/>
      <c r="I32" s="29"/>
      <c r="J32" s="37"/>
    </row>
    <row r="33" spans="1:10" ht="13.5" hidden="1" x14ac:dyDescent="0.25">
      <c r="A33" s="28"/>
      <c r="B33" s="29" t="str">
        <f>'QUINCENA 1 '!B33</f>
        <v>Cliente 22</v>
      </c>
      <c r="C33" s="30"/>
      <c r="D33" s="31"/>
      <c r="E33" s="35"/>
      <c r="F33" s="39"/>
      <c r="G33" s="40"/>
      <c r="H33" s="35"/>
      <c r="I33" s="29"/>
      <c r="J33" s="37"/>
    </row>
    <row r="34" spans="1:10" ht="13.5" hidden="1" x14ac:dyDescent="0.25">
      <c r="A34" s="28"/>
      <c r="B34" s="29" t="str">
        <f>'QUINCENA 1 '!B34</f>
        <v>Cliente 23</v>
      </c>
      <c r="C34" s="30"/>
      <c r="D34" s="31"/>
      <c r="E34" s="35"/>
      <c r="F34" s="39"/>
      <c r="G34" s="40"/>
      <c r="H34" s="35"/>
      <c r="I34" s="29"/>
      <c r="J34" s="37"/>
    </row>
    <row r="35" spans="1:10" ht="13.5" hidden="1" x14ac:dyDescent="0.25">
      <c r="A35" s="28"/>
      <c r="B35" s="29" t="str">
        <f>'QUINCENA 1 '!B35</f>
        <v>Cliente 24</v>
      </c>
      <c r="C35" s="30"/>
      <c r="D35" s="31"/>
      <c r="E35" s="35"/>
      <c r="F35" s="39"/>
      <c r="G35" s="40"/>
      <c r="H35" s="35"/>
      <c r="I35" s="29"/>
      <c r="J35" s="37"/>
    </row>
    <row r="36" spans="1:10" ht="13.5" hidden="1" x14ac:dyDescent="0.25">
      <c r="A36" s="28"/>
      <c r="B36" s="29" t="str">
        <f>'QUINCENA 1 '!B36</f>
        <v>Cliente 25</v>
      </c>
      <c r="C36" s="30"/>
      <c r="D36" s="31"/>
      <c r="E36" s="35"/>
      <c r="F36" s="39"/>
      <c r="G36" s="40"/>
      <c r="H36" s="35"/>
      <c r="I36" s="29"/>
      <c r="J36" s="37"/>
    </row>
    <row r="37" spans="1:10" ht="13.5" hidden="1" x14ac:dyDescent="0.25">
      <c r="A37" s="28"/>
      <c r="B37" s="29" t="str">
        <f>'QUINCENA 1 '!B37</f>
        <v>Cliente 26</v>
      </c>
      <c r="C37" s="30"/>
      <c r="D37" s="31"/>
      <c r="E37" s="35"/>
      <c r="F37" s="39"/>
      <c r="G37" s="40"/>
      <c r="H37" s="35"/>
      <c r="I37" s="29"/>
      <c r="J37" s="37"/>
    </row>
    <row r="38" spans="1:10" ht="13.5" hidden="1" x14ac:dyDescent="0.25">
      <c r="A38" s="28"/>
      <c r="B38" s="29" t="str">
        <f>'QUINCENA 1 '!B38</f>
        <v>Cliente 27</v>
      </c>
      <c r="C38" s="30"/>
      <c r="D38" s="31"/>
      <c r="E38" s="35"/>
      <c r="F38" s="39"/>
      <c r="G38" s="40"/>
      <c r="H38" s="35"/>
      <c r="I38" s="29"/>
      <c r="J38" s="37"/>
    </row>
    <row r="39" spans="1:10" ht="13.5" hidden="1" x14ac:dyDescent="0.25">
      <c r="A39" s="28"/>
      <c r="B39" s="29" t="str">
        <f>'QUINCENA 1 '!B39</f>
        <v>Cliente 28</v>
      </c>
      <c r="C39" s="30"/>
      <c r="D39" s="31"/>
      <c r="E39" s="35"/>
      <c r="F39" s="39"/>
      <c r="G39" s="40"/>
      <c r="H39" s="35"/>
      <c r="I39" s="29"/>
      <c r="J39" s="37"/>
    </row>
    <row r="40" spans="1:10" ht="13.5" hidden="1" x14ac:dyDescent="0.25">
      <c r="A40" s="28"/>
      <c r="B40" s="29" t="str">
        <f>'QUINCENA 1 '!B40</f>
        <v>Cliente 29</v>
      </c>
      <c r="C40" s="30"/>
      <c r="D40" s="31"/>
      <c r="E40" s="35"/>
      <c r="F40" s="39"/>
      <c r="G40" s="40"/>
      <c r="H40" s="35"/>
      <c r="I40" s="29"/>
      <c r="J40" s="37"/>
    </row>
    <row r="41" spans="1:10" ht="13.5" hidden="1" x14ac:dyDescent="0.25">
      <c r="A41" s="28"/>
      <c r="B41" s="29" t="str">
        <f>'QUINCENA 1 '!B41</f>
        <v>Cliente 30</v>
      </c>
      <c r="C41" s="30"/>
      <c r="D41" s="31"/>
      <c r="E41" s="35"/>
      <c r="F41" s="39"/>
      <c r="G41" s="40"/>
      <c r="H41" s="35"/>
      <c r="I41" s="29"/>
      <c r="J41" s="37"/>
    </row>
    <row r="42" spans="1:10" ht="13.5" hidden="1" x14ac:dyDescent="0.25">
      <c r="A42" s="28"/>
      <c r="B42" s="29" t="str">
        <f>'QUINCENA 1 '!B42</f>
        <v>Cliente 31</v>
      </c>
      <c r="C42" s="30"/>
      <c r="D42" s="31"/>
      <c r="E42" s="35"/>
      <c r="F42" s="39"/>
      <c r="G42" s="40"/>
      <c r="H42" s="35"/>
      <c r="I42" s="29"/>
      <c r="J42" s="37"/>
    </row>
    <row r="43" spans="1:10" ht="13.5" hidden="1" x14ac:dyDescent="0.25">
      <c r="A43" s="28"/>
      <c r="B43" s="29" t="str">
        <f>'QUINCENA 1 '!B43</f>
        <v>Cliente 32</v>
      </c>
      <c r="C43" s="30"/>
      <c r="D43" s="31"/>
      <c r="E43" s="35"/>
      <c r="F43" s="39"/>
      <c r="G43" s="40"/>
      <c r="H43" s="35"/>
      <c r="I43" s="29"/>
      <c r="J43" s="37"/>
    </row>
    <row r="44" spans="1:10" ht="13.5" hidden="1" x14ac:dyDescent="0.25">
      <c r="A44" s="28"/>
      <c r="B44" s="29" t="str">
        <f>'QUINCENA 1 '!B44</f>
        <v>Cliente 33</v>
      </c>
      <c r="C44" s="30"/>
      <c r="D44" s="31"/>
      <c r="E44" s="35"/>
      <c r="F44" s="39"/>
      <c r="G44" s="40"/>
      <c r="H44" s="35"/>
      <c r="I44" s="29"/>
      <c r="J44" s="37"/>
    </row>
    <row r="45" spans="1:10" ht="13.5" hidden="1" x14ac:dyDescent="0.25">
      <c r="A45" s="28"/>
      <c r="B45" s="29" t="str">
        <f>'QUINCENA 1 '!B45</f>
        <v>Cliente 34</v>
      </c>
      <c r="C45" s="30"/>
      <c r="D45" s="31"/>
      <c r="E45" s="35"/>
      <c r="F45" s="39"/>
      <c r="G45" s="40"/>
      <c r="H45" s="35"/>
      <c r="I45" s="29"/>
      <c r="J45" s="37"/>
    </row>
    <row r="46" spans="1:10" ht="14.25" hidden="1" thickBot="1" x14ac:dyDescent="0.3">
      <c r="A46" s="41"/>
      <c r="B46" s="29" t="str">
        <f>'QUINCENA 1 '!B46</f>
        <v>Cliente 35</v>
      </c>
      <c r="C46" s="42"/>
      <c r="D46" s="43"/>
      <c r="E46" s="110"/>
      <c r="F46" s="111"/>
      <c r="G46" s="112"/>
      <c r="H46" s="110"/>
      <c r="I46" s="109"/>
      <c r="J46" s="48"/>
    </row>
    <row r="47" spans="1:10" x14ac:dyDescent="0.2">
      <c r="E47" s="15"/>
      <c r="I47" s="11"/>
    </row>
    <row r="48" spans="1:10" ht="15.75" x14ac:dyDescent="0.25">
      <c r="A48" s="49" t="s">
        <v>19</v>
      </c>
    </row>
    <row r="49" spans="1:9" ht="15.75" x14ac:dyDescent="0.25">
      <c r="A49" s="49"/>
    </row>
    <row r="50" spans="1:9" ht="13.5" thickBot="1" x14ac:dyDescent="0.25">
      <c r="A50" s="15" t="s">
        <v>20</v>
      </c>
    </row>
    <row r="51" spans="1:9" ht="13.5" thickTop="1" x14ac:dyDescent="0.2">
      <c r="A51" s="821" t="s">
        <v>21</v>
      </c>
      <c r="B51" s="822"/>
      <c r="C51" s="823"/>
      <c r="D51" s="822" t="s">
        <v>22</v>
      </c>
      <c r="E51" s="823"/>
      <c r="F51" s="829" t="s">
        <v>23</v>
      </c>
      <c r="G51" s="830"/>
      <c r="H51" s="283"/>
      <c r="I51" s="831" t="s">
        <v>36</v>
      </c>
    </row>
    <row r="52" spans="1:9" x14ac:dyDescent="0.2">
      <c r="A52" s="255"/>
      <c r="B52" s="52"/>
      <c r="C52" s="31"/>
      <c r="D52" s="50" t="s">
        <v>16</v>
      </c>
      <c r="E52" s="53" t="s">
        <v>34</v>
      </c>
      <c r="F52" s="87" t="s">
        <v>24</v>
      </c>
      <c r="G52" s="87" t="s">
        <v>64</v>
      </c>
      <c r="H52" s="88" t="s">
        <v>25</v>
      </c>
      <c r="I52" s="832"/>
    </row>
    <row r="53" spans="1:9" x14ac:dyDescent="0.2">
      <c r="A53" s="257" t="s">
        <v>26</v>
      </c>
      <c r="B53" s="55"/>
      <c r="C53" s="56"/>
      <c r="D53" s="243">
        <f>E53*35.3146/1000</f>
        <v>39031.850110600004</v>
      </c>
      <c r="E53" s="244">
        <f>'Balance Volumetrico'!AM50</f>
        <v>1105261</v>
      </c>
      <c r="F53" s="245">
        <f>G53*0.9478</f>
        <v>38389.716879986314</v>
      </c>
      <c r="G53" s="245">
        <f>+'Balance de Energía'!AN48</f>
        <v>40504.027094309262</v>
      </c>
      <c r="H53" s="246"/>
      <c r="I53" s="678">
        <f>MAX(I55:I85)</f>
        <v>17</v>
      </c>
    </row>
    <row r="54" spans="1:9" x14ac:dyDescent="0.2">
      <c r="A54" s="259"/>
      <c r="B54" s="14"/>
      <c r="C54" s="63"/>
      <c r="D54" s="57"/>
      <c r="E54" s="64"/>
      <c r="F54" s="65"/>
      <c r="G54" s="65"/>
      <c r="H54" s="58"/>
      <c r="I54" s="284"/>
    </row>
    <row r="55" spans="1:9" x14ac:dyDescent="0.2">
      <c r="A55" s="259" t="s">
        <v>266</v>
      </c>
      <c r="B55" s="14"/>
      <c r="C55" s="63"/>
      <c r="D55" s="89">
        <f>E55/(1000*0.3048^3)</f>
        <v>4.4496480069075615</v>
      </c>
      <c r="E55" s="90">
        <f>'Ajuste de Volumen'!B49</f>
        <v>126</v>
      </c>
      <c r="F55" s="108">
        <f>G55/4.1868/0.252</f>
        <v>4.3764417039797339</v>
      </c>
      <c r="G55" s="108">
        <f>'Balance de Energía'!B48</f>
        <v>4.6174681038080321</v>
      </c>
      <c r="H55" s="91">
        <f t="shared" ref="H55:H74" si="0">F55/$F$90</f>
        <v>1.1400022257186313E-4</v>
      </c>
      <c r="I55" s="284">
        <f>'dias trabajados'!B45</f>
        <v>5</v>
      </c>
    </row>
    <row r="56" spans="1:9" x14ac:dyDescent="0.2">
      <c r="A56" s="259" t="s">
        <v>267</v>
      </c>
      <c r="B56" s="14"/>
      <c r="C56" s="63"/>
      <c r="D56" s="89">
        <f t="shared" ref="D56:D87" si="1">E56/(1000*0.3048^3)</f>
        <v>1525.0390811596562</v>
      </c>
      <c r="E56" s="90">
        <f>'Ajuste de Volumen'!C49</f>
        <v>43184.297708002632</v>
      </c>
      <c r="F56" s="108">
        <f t="shared" ref="F56:F89" si="2">G56/4.1868/0.252</f>
        <v>1499.9489003680887</v>
      </c>
      <c r="G56" s="108">
        <f>'Balance de Energía'!C48</f>
        <v>1582.5564861274006</v>
      </c>
      <c r="H56" s="91">
        <f t="shared" si="0"/>
        <v>3.9071583732713487E-2</v>
      </c>
      <c r="I56" s="284">
        <f>'dias trabajados'!C45</f>
        <v>13</v>
      </c>
    </row>
    <row r="57" spans="1:9" x14ac:dyDescent="0.2">
      <c r="A57" s="259" t="s">
        <v>247</v>
      </c>
      <c r="B57" s="14"/>
      <c r="C57" s="63"/>
      <c r="D57" s="89">
        <f t="shared" si="1"/>
        <v>422.87061061833498</v>
      </c>
      <c r="E57" s="90">
        <f>'Ajuste de Volumen'!D49</f>
        <v>11974.36220914476</v>
      </c>
      <c r="F57" s="108">
        <f t="shared" si="2"/>
        <v>415.91347738619055</v>
      </c>
      <c r="G57" s="108">
        <f>'Balance de Energía'!D48</f>
        <v>438.81932987436664</v>
      </c>
      <c r="H57" s="91">
        <f t="shared" si="0"/>
        <v>1.0833967912687372E-2</v>
      </c>
      <c r="I57" s="284">
        <f>'dias trabajados'!D45</f>
        <v>15</v>
      </c>
    </row>
    <row r="58" spans="1:9" x14ac:dyDescent="0.2">
      <c r="A58" s="259" t="s">
        <v>248</v>
      </c>
      <c r="B58" s="14"/>
      <c r="C58" s="63"/>
      <c r="D58" s="89">
        <f t="shared" si="1"/>
        <v>1134.0773658655733</v>
      </c>
      <c r="E58" s="90">
        <f>'Ajuste de Volumen'!E49</f>
        <v>32113.494792674901</v>
      </c>
      <c r="F58" s="108">
        <f t="shared" si="2"/>
        <v>1115.4193481841148</v>
      </c>
      <c r="G58" s="108">
        <f>'Balance de Energía'!E48</f>
        <v>1176.8495071982672</v>
      </c>
      <c r="H58" s="91">
        <f t="shared" si="0"/>
        <v>2.9055123443851642E-2</v>
      </c>
      <c r="I58" s="284">
        <f>'dias trabajados'!E45</f>
        <v>14</v>
      </c>
    </row>
    <row r="59" spans="1:9" x14ac:dyDescent="0.2">
      <c r="A59" s="259" t="s">
        <v>268</v>
      </c>
      <c r="B59" s="14"/>
      <c r="C59" s="63"/>
      <c r="D59" s="89">
        <f t="shared" si="1"/>
        <v>695.30883648269264</v>
      </c>
      <c r="E59" s="90">
        <f>'Ajuste de Volumen'!F49</f>
        <v>19688.953656742422</v>
      </c>
      <c r="F59" s="108">
        <f t="shared" si="2"/>
        <v>683.86950707215715</v>
      </c>
      <c r="G59" s="108">
        <f>'Balance de Energía'!F48</f>
        <v>721.53266275684632</v>
      </c>
      <c r="H59" s="91">
        <f t="shared" si="0"/>
        <v>1.7813849992664558E-2</v>
      </c>
      <c r="I59" s="284">
        <f>'dias trabajados'!F45</f>
        <v>12</v>
      </c>
    </row>
    <row r="60" spans="1:9" x14ac:dyDescent="0.2">
      <c r="A60" s="259" t="s">
        <v>250</v>
      </c>
      <c r="B60" s="14"/>
      <c r="C60" s="63"/>
      <c r="D60" s="89">
        <f t="shared" si="1"/>
        <v>4083.5662714247605</v>
      </c>
      <c r="E60" s="90">
        <f>'Ajuste de Volumen'!G49</f>
        <v>115633.7196562004</v>
      </c>
      <c r="F60" s="108">
        <f t="shared" si="2"/>
        <v>4016.3828022991784</v>
      </c>
      <c r="G60" s="108">
        <f>'Balance de Energía'!G48</f>
        <v>4237.5794621998821</v>
      </c>
      <c r="H60" s="91">
        <f t="shared" si="0"/>
        <v>0.10462118871126404</v>
      </c>
      <c r="I60" s="284">
        <f>'dias trabajados'!G45</f>
        <v>14</v>
      </c>
    </row>
    <row r="61" spans="1:9" x14ac:dyDescent="0.2">
      <c r="A61" s="259" t="s">
        <v>251</v>
      </c>
      <c r="B61" s="14"/>
      <c r="C61" s="63"/>
      <c r="D61" s="89">
        <f>E61/(1000*0.3048^3)</f>
        <v>571.18238511579079</v>
      </c>
      <c r="E61" s="90">
        <f>'Ajuste de Volumen'!H49</f>
        <v>16174.083975376514</v>
      </c>
      <c r="F61" s="108">
        <f>G61/4.1868/0.252</f>
        <v>561.7852034405405</v>
      </c>
      <c r="G61" s="108">
        <f>'Balance de Energía'!H48</f>
        <v>592.72473702074342</v>
      </c>
      <c r="H61" s="91">
        <f t="shared" si="0"/>
        <v>1.4633723595943868E-2</v>
      </c>
      <c r="I61" s="284">
        <f>'dias trabajados'!H45</f>
        <v>17</v>
      </c>
    </row>
    <row r="62" spans="1:9" x14ac:dyDescent="0.2">
      <c r="A62" s="259" t="s">
        <v>269</v>
      </c>
      <c r="B62" s="14"/>
      <c r="C62" s="63"/>
      <c r="D62" s="89">
        <f t="shared" si="1"/>
        <v>4772.670841612794</v>
      </c>
      <c r="E62" s="90">
        <f>'Ajuste de Volumen'!I49</f>
        <v>135146.98805606103</v>
      </c>
      <c r="F62" s="108">
        <f t="shared" si="2"/>
        <v>4694.1501166333046</v>
      </c>
      <c r="G62" s="108">
        <f>'Balance de Energía'!I48</f>
        <v>4952.6738624967202</v>
      </c>
      <c r="H62" s="91">
        <f t="shared" si="0"/>
        <v>0.12227608506593558</v>
      </c>
      <c r="I62" s="284">
        <f>'dias trabajados'!I45</f>
        <v>17</v>
      </c>
    </row>
    <row r="63" spans="1:9" x14ac:dyDescent="0.2">
      <c r="A63" s="259" t="s">
        <v>270</v>
      </c>
      <c r="B63" s="14"/>
      <c r="C63" s="63"/>
      <c r="D63" s="89">
        <f t="shared" si="1"/>
        <v>276.52077374742299</v>
      </c>
      <c r="E63" s="90">
        <f>'Ajuste de Volumen'!J49</f>
        <v>7830.1963297069187</v>
      </c>
      <c r="F63" s="108">
        <f t="shared" si="2"/>
        <v>271.97141085459049</v>
      </c>
      <c r="G63" s="108">
        <f>'Balance de Energía'!J48</f>
        <v>286.94985554743187</v>
      </c>
      <c r="H63" s="91">
        <f t="shared" si="0"/>
        <v>7.0844771775236065E-3</v>
      </c>
      <c r="I63" s="284">
        <f>'dias trabajados'!J45</f>
        <v>11</v>
      </c>
    </row>
    <row r="64" spans="1:9" x14ac:dyDescent="0.2">
      <c r="A64" s="259" t="s">
        <v>254</v>
      </c>
      <c r="B64" s="14"/>
      <c r="C64" s="63"/>
      <c r="D64" s="89">
        <f t="shared" si="1"/>
        <v>8658.3204228694576</v>
      </c>
      <c r="E64" s="90">
        <f>'Ajuste de Volumen'!K49</f>
        <v>245176.33115877502</v>
      </c>
      <c r="F64" s="108">
        <f t="shared" si="2"/>
        <v>8515.8723850159458</v>
      </c>
      <c r="G64" s="108">
        <f>'Balance de Energía'!K48</f>
        <v>8984.8721343993584</v>
      </c>
      <c r="H64" s="91">
        <f t="shared" si="0"/>
        <v>0.22182663747185064</v>
      </c>
      <c r="I64" s="284">
        <f>'dias trabajados'!K45</f>
        <v>17</v>
      </c>
    </row>
    <row r="65" spans="1:9" x14ac:dyDescent="0.2">
      <c r="A65" s="259" t="s">
        <v>255</v>
      </c>
      <c r="B65" s="14"/>
      <c r="C65" s="63"/>
      <c r="D65" s="89">
        <f t="shared" si="1"/>
        <v>678.76105962476117</v>
      </c>
      <c r="E65" s="90">
        <f>'Ajuste de Volumen'!L49</f>
        <v>19220.372798017732</v>
      </c>
      <c r="F65" s="108">
        <f t="shared" si="2"/>
        <v>667.59397681970199</v>
      </c>
      <c r="G65" s="108">
        <f>'Balance de Energía'!L48</f>
        <v>704.36078046147952</v>
      </c>
      <c r="H65" s="91">
        <f t="shared" si="0"/>
        <v>1.7389895054668297E-2</v>
      </c>
      <c r="I65" s="284">
        <f>'dias trabajados'!L45</f>
        <v>15</v>
      </c>
    </row>
    <row r="66" spans="1:9" x14ac:dyDescent="0.2">
      <c r="A66" s="259" t="s">
        <v>256</v>
      </c>
      <c r="B66" s="14"/>
      <c r="C66" s="63"/>
      <c r="D66" s="89">
        <f>E66/(1000*0.3048^3)</f>
        <v>137.01770068116974</v>
      </c>
      <c r="E66" s="90">
        <f>'Ajuste de Volumen'!M49</f>
        <v>3879.9092105772584</v>
      </c>
      <c r="F66" s="108">
        <f>G66/4.1868/0.252</f>
        <v>134.76346410178891</v>
      </c>
      <c r="G66" s="108">
        <f>'Balance de Energía'!M48</f>
        <v>142.18537321834518</v>
      </c>
      <c r="H66" s="91">
        <f t="shared" si="0"/>
        <v>3.5104009013049945E-3</v>
      </c>
      <c r="I66" s="284">
        <f>'dias trabajados'!M45</f>
        <v>14</v>
      </c>
    </row>
    <row r="67" spans="1:9" x14ac:dyDescent="0.2">
      <c r="A67" s="259" t="s">
        <v>271</v>
      </c>
      <c r="B67" s="14"/>
      <c r="C67" s="63"/>
      <c r="D67" s="89">
        <f>E67/(1000*0.3048^3)</f>
        <v>6114.3002786602983</v>
      </c>
      <c r="E67" s="90">
        <f>'Ajuste de Volumen'!N49</f>
        <v>173137.70300824655</v>
      </c>
      <c r="F67" s="108">
        <f>G67/4.1868/0.252</f>
        <v>6013.7068569567255</v>
      </c>
      <c r="G67" s="108">
        <f>'Balance de Energía'!N48</f>
        <v>6344.9033429140181</v>
      </c>
      <c r="H67" s="91">
        <f t="shared" si="0"/>
        <v>0.15664870379778759</v>
      </c>
      <c r="I67" s="284">
        <f>'dias trabajados'!N45</f>
        <v>17</v>
      </c>
    </row>
    <row r="68" spans="1:9" x14ac:dyDescent="0.2">
      <c r="A68" s="259" t="s">
        <v>258</v>
      </c>
      <c r="B68" s="14"/>
      <c r="C68" s="63"/>
      <c r="D68" s="89">
        <f>E68/(1000*0.3048^3)</f>
        <v>3427.086783307016</v>
      </c>
      <c r="E68" s="90">
        <f>'Ajuste de Volumen'!O49</f>
        <v>97044.290700375539</v>
      </c>
      <c r="F68" s="108">
        <f>G68/4.1868/0.252</f>
        <v>3370.7038170972714</v>
      </c>
      <c r="G68" s="108">
        <f>'Balance de Energía'!O48</f>
        <v>3556.3406108385593</v>
      </c>
      <c r="H68" s="91">
        <f t="shared" si="0"/>
        <v>8.7802148723582538E-2</v>
      </c>
      <c r="I68" s="284">
        <f>'dias trabajados'!O45</f>
        <v>15</v>
      </c>
    </row>
    <row r="69" spans="1:9" x14ac:dyDescent="0.2">
      <c r="A69" s="259" t="s">
        <v>272</v>
      </c>
      <c r="B69" s="14"/>
      <c r="C69" s="63"/>
      <c r="D69" s="89">
        <f>E69/(1000*0.3048^3)</f>
        <v>1166.1086504573761</v>
      </c>
      <c r="E69" s="90">
        <f>'Ajuste de Volumen'!P49</f>
        <v>33020.519764605677</v>
      </c>
      <c r="F69" s="108">
        <f>G69/4.1868/0.252</f>
        <v>1146.923649086566</v>
      </c>
      <c r="G69" s="108">
        <f>'Balance de Energía'!P48</f>
        <v>1210.0888633668999</v>
      </c>
      <c r="H69" s="91">
        <f t="shared" si="0"/>
        <v>2.9875766687330569E-2</v>
      </c>
      <c r="I69" s="284">
        <f>'dias trabajados'!P45</f>
        <v>14</v>
      </c>
    </row>
    <row r="70" spans="1:9" x14ac:dyDescent="0.2">
      <c r="A70" s="259" t="s">
        <v>273</v>
      </c>
      <c r="B70" s="14"/>
      <c r="C70" s="63"/>
      <c r="D70" s="89">
        <f>E70/(1000*0.3048^3)</f>
        <v>105.27954737481166</v>
      </c>
      <c r="E70" s="90">
        <f>'Ajuste de Volumen'!Q49</f>
        <v>2981.1847922877387</v>
      </c>
      <c r="F70" s="108">
        <f>G70/4.1868/0.252</f>
        <v>103.54747184316048</v>
      </c>
      <c r="G70" s="108">
        <f>'Balance de Energía'!Q48</f>
        <v>109.25020388846197</v>
      </c>
      <c r="H70" s="91">
        <f t="shared" si="0"/>
        <v>2.6972676972115538E-3</v>
      </c>
      <c r="I70" s="284">
        <f>'dias trabajados'!Q45</f>
        <v>17</v>
      </c>
    </row>
    <row r="71" spans="1:9" x14ac:dyDescent="0.2">
      <c r="A71" s="259" t="s">
        <v>274</v>
      </c>
      <c r="B71" s="14"/>
      <c r="C71" s="63"/>
      <c r="D71" s="89">
        <f t="shared" si="1"/>
        <v>446.86587455771036</v>
      </c>
      <c r="E71" s="90">
        <f>'Ajuste de Volumen'!R49</f>
        <v>12653.832417050602</v>
      </c>
      <c r="F71" s="108">
        <f t="shared" si="2"/>
        <v>439.51396750119784</v>
      </c>
      <c r="G71" s="108">
        <f>'Balance de Energía'!R48</f>
        <v>463.71958394177182</v>
      </c>
      <c r="H71" s="91">
        <f t="shared" si="0"/>
        <v>1.1448727872466868E-2</v>
      </c>
      <c r="I71" s="284">
        <f>'dias trabajados'!R45</f>
        <v>11</v>
      </c>
    </row>
    <row r="72" spans="1:9" x14ac:dyDescent="0.2">
      <c r="A72" s="259" t="s">
        <v>275</v>
      </c>
      <c r="B72" s="14"/>
      <c r="C72" s="63"/>
      <c r="D72" s="89">
        <f t="shared" si="1"/>
        <v>3368.0226121821979</v>
      </c>
      <c r="E72" s="90">
        <f>'Ajuste de Volumen'!S49</f>
        <v>95371.779627550422</v>
      </c>
      <c r="F72" s="108">
        <f t="shared" si="2"/>
        <v>3312.6113789267979</v>
      </c>
      <c r="G72" s="108">
        <f>'Balance de Energía'!S48</f>
        <v>3495.0488129652608</v>
      </c>
      <c r="H72" s="91">
        <f t="shared" si="0"/>
        <v>8.628892146520184E-2</v>
      </c>
      <c r="I72" s="284">
        <f>'dias trabajados'!S45</f>
        <v>17</v>
      </c>
    </row>
    <row r="73" spans="1:9" x14ac:dyDescent="0.2">
      <c r="A73" s="259" t="s">
        <v>276</v>
      </c>
      <c r="B73" s="14"/>
      <c r="C73" s="63"/>
      <c r="D73" s="89">
        <f t="shared" si="1"/>
        <v>1444.4751115104636</v>
      </c>
      <c r="E73" s="90">
        <f>'Ajuste de Volumen'!T49</f>
        <v>40902.980138603896</v>
      </c>
      <c r="F73" s="108">
        <f t="shared" si="2"/>
        <v>1420.7103817114348</v>
      </c>
      <c r="G73" s="108">
        <f>'Balance de Energía'!T48</f>
        <v>1498.9540169896577</v>
      </c>
      <c r="H73" s="91">
        <f t="shared" si="0"/>
        <v>3.7007530473439201E-2</v>
      </c>
      <c r="I73" s="284">
        <f>'dias trabajados'!T45</f>
        <v>15</v>
      </c>
    </row>
    <row r="74" spans="1:9" hidden="1" x14ac:dyDescent="0.2">
      <c r="A74" s="259" t="s">
        <v>219</v>
      </c>
      <c r="B74" s="14"/>
      <c r="C74" s="92"/>
      <c r="D74" s="89">
        <f t="shared" si="1"/>
        <v>0</v>
      </c>
      <c r="E74" s="90">
        <f>'Ajuste de Volumen'!U49</f>
        <v>0</v>
      </c>
      <c r="F74" s="108">
        <f t="shared" si="2"/>
        <v>0</v>
      </c>
      <c r="G74" s="108">
        <f>'Balance de Energía'!U48</f>
        <v>0</v>
      </c>
      <c r="H74" s="91">
        <f t="shared" si="0"/>
        <v>0</v>
      </c>
      <c r="I74" s="284">
        <f>'dias trabajados'!U45</f>
        <v>0</v>
      </c>
    </row>
    <row r="75" spans="1:9" hidden="1" x14ac:dyDescent="0.2">
      <c r="A75" s="259" t="s">
        <v>220</v>
      </c>
      <c r="B75" s="14"/>
      <c r="C75" s="92"/>
      <c r="D75" s="89">
        <f t="shared" si="1"/>
        <v>0</v>
      </c>
      <c r="E75" s="90">
        <f>'Ajuste de Volumen'!V49</f>
        <v>0</v>
      </c>
      <c r="F75" s="108">
        <f t="shared" si="2"/>
        <v>0</v>
      </c>
      <c r="G75" s="108">
        <f>'Balance de Energía'!V48</f>
        <v>0</v>
      </c>
      <c r="H75" s="91">
        <f t="shared" ref="H75:H89" si="3">F75/$F$90</f>
        <v>0</v>
      </c>
      <c r="I75" s="284">
        <f>'dias trabajados'!V45</f>
        <v>0</v>
      </c>
    </row>
    <row r="76" spans="1:9" hidden="1" x14ac:dyDescent="0.2">
      <c r="A76" s="259" t="s">
        <v>221</v>
      </c>
      <c r="B76" s="14"/>
      <c r="C76" s="92"/>
      <c r="D76" s="89">
        <f>E76/(1000*0.3048^3)</f>
        <v>0</v>
      </c>
      <c r="E76" s="90">
        <f>'Ajuste de Volumen'!W49</f>
        <v>0</v>
      </c>
      <c r="F76" s="108">
        <f>G76/4.1868/0.252</f>
        <v>0</v>
      </c>
      <c r="G76" s="108">
        <f>'Balance de Energía'!W48</f>
        <v>0</v>
      </c>
      <c r="H76" s="91">
        <f>F76/$F$90</f>
        <v>0</v>
      </c>
      <c r="I76" s="284">
        <f>'dias trabajados'!W45</f>
        <v>0</v>
      </c>
    </row>
    <row r="77" spans="1:9" hidden="1" x14ac:dyDescent="0.2">
      <c r="A77" s="259" t="s">
        <v>222</v>
      </c>
      <c r="B77" s="14"/>
      <c r="C77" s="92"/>
      <c r="D77" s="89">
        <f t="shared" si="1"/>
        <v>0</v>
      </c>
      <c r="E77" s="90">
        <f>'Ajuste de Volumen'!X49</f>
        <v>0</v>
      </c>
      <c r="F77" s="108">
        <f t="shared" si="2"/>
        <v>0</v>
      </c>
      <c r="G77" s="108">
        <f>'Balance de Energía'!X48</f>
        <v>0</v>
      </c>
      <c r="H77" s="91">
        <f t="shared" si="3"/>
        <v>0</v>
      </c>
      <c r="I77" s="284">
        <f>'dias trabajados'!X45</f>
        <v>0</v>
      </c>
    </row>
    <row r="78" spans="1:9" hidden="1" x14ac:dyDescent="0.2">
      <c r="A78" s="259" t="s">
        <v>223</v>
      </c>
      <c r="B78" s="14"/>
      <c r="C78" s="92"/>
      <c r="D78" s="89">
        <f t="shared" si="1"/>
        <v>0</v>
      </c>
      <c r="E78" s="90">
        <f>'Ajuste de Volumen'!Y49</f>
        <v>0</v>
      </c>
      <c r="F78" s="108">
        <f t="shared" si="2"/>
        <v>0</v>
      </c>
      <c r="G78" s="108">
        <f>'Balance de Energía'!Y48</f>
        <v>0</v>
      </c>
      <c r="H78" s="91">
        <f t="shared" si="3"/>
        <v>0</v>
      </c>
      <c r="I78" s="284">
        <f>'dias trabajados'!Y45</f>
        <v>0</v>
      </c>
    </row>
    <row r="79" spans="1:9" hidden="1" x14ac:dyDescent="0.2">
      <c r="A79" s="259" t="s">
        <v>224</v>
      </c>
      <c r="B79" s="14"/>
      <c r="C79" s="92"/>
      <c r="D79" s="89">
        <f>E79/(1000*0.3048^3)</f>
        <v>0</v>
      </c>
      <c r="E79" s="90">
        <f>'Ajuste de Volumen'!Z49</f>
        <v>0</v>
      </c>
      <c r="F79" s="108">
        <f>G79/4.1868/0.252</f>
        <v>0</v>
      </c>
      <c r="G79" s="108">
        <f>'Balance de Energía'!Z48</f>
        <v>0</v>
      </c>
      <c r="H79" s="91">
        <f>F79/$F$90</f>
        <v>0</v>
      </c>
      <c r="I79" s="284">
        <f>'dias trabajados'!Z46</f>
        <v>0</v>
      </c>
    </row>
    <row r="80" spans="1:9" hidden="1" x14ac:dyDescent="0.2">
      <c r="A80" s="259" t="s">
        <v>225</v>
      </c>
      <c r="B80" s="14"/>
      <c r="C80" s="92"/>
      <c r="D80" s="89">
        <f t="shared" si="1"/>
        <v>0</v>
      </c>
      <c r="E80" s="90">
        <f>'Ajuste de Volumen'!AA49</f>
        <v>0</v>
      </c>
      <c r="F80" s="108">
        <f t="shared" si="2"/>
        <v>0</v>
      </c>
      <c r="G80" s="108">
        <f>'Balance de Energía'!AA48</f>
        <v>0</v>
      </c>
      <c r="H80" s="91">
        <f t="shared" si="3"/>
        <v>0</v>
      </c>
      <c r="I80" s="284">
        <f>'dias trabajados'!AA45</f>
        <v>0</v>
      </c>
    </row>
    <row r="81" spans="1:9" hidden="1" x14ac:dyDescent="0.2">
      <c r="A81" s="259" t="s">
        <v>226</v>
      </c>
      <c r="B81" s="14"/>
      <c r="C81" s="92"/>
      <c r="D81" s="89">
        <f t="shared" si="1"/>
        <v>0</v>
      </c>
      <c r="E81" s="90">
        <f>'Ajuste de Volumen'!AB49</f>
        <v>0</v>
      </c>
      <c r="F81" s="108">
        <f t="shared" si="2"/>
        <v>0</v>
      </c>
      <c r="G81" s="108">
        <f>'Balance de Energía'!AB48</f>
        <v>0</v>
      </c>
      <c r="H81" s="91">
        <f t="shared" si="3"/>
        <v>0</v>
      </c>
      <c r="I81" s="284">
        <f>'dias trabajados'!AB45</f>
        <v>0</v>
      </c>
    </row>
    <row r="82" spans="1:9" hidden="1" x14ac:dyDescent="0.2">
      <c r="A82" s="259" t="s">
        <v>227</v>
      </c>
      <c r="B82" s="14"/>
      <c r="C82" s="92"/>
      <c r="D82" s="89">
        <f t="shared" si="1"/>
        <v>0</v>
      </c>
      <c r="E82" s="90">
        <f>'Ajuste de Volumen'!AC49</f>
        <v>0</v>
      </c>
      <c r="F82" s="108">
        <f t="shared" si="2"/>
        <v>0</v>
      </c>
      <c r="G82" s="108">
        <f>'Balance de Energía'!AC48</f>
        <v>0</v>
      </c>
      <c r="H82" s="91">
        <f t="shared" si="3"/>
        <v>0</v>
      </c>
      <c r="I82" s="284">
        <f>'dias trabajados'!AC45</f>
        <v>0</v>
      </c>
    </row>
    <row r="83" spans="1:9" hidden="1" x14ac:dyDescent="0.2">
      <c r="A83" s="259" t="s">
        <v>228</v>
      </c>
      <c r="B83" s="14"/>
      <c r="C83" s="92"/>
      <c r="D83" s="89">
        <f t="shared" si="1"/>
        <v>0</v>
      </c>
      <c r="E83" s="90">
        <f>'Ajuste de Volumen'!AD49</f>
        <v>0</v>
      </c>
      <c r="F83" s="108">
        <f t="shared" si="2"/>
        <v>0</v>
      </c>
      <c r="G83" s="108">
        <f>'Balance de Energía'!AD48</f>
        <v>0</v>
      </c>
      <c r="H83" s="91">
        <f t="shared" si="3"/>
        <v>0</v>
      </c>
      <c r="I83" s="284">
        <f>'dias trabajados'!AD45</f>
        <v>0</v>
      </c>
    </row>
    <row r="84" spans="1:9" hidden="1" x14ac:dyDescent="0.2">
      <c r="A84" s="259" t="s">
        <v>229</v>
      </c>
      <c r="B84" s="14"/>
      <c r="C84" s="92"/>
      <c r="D84" s="89">
        <f t="shared" si="1"/>
        <v>0</v>
      </c>
      <c r="E84" s="90">
        <f>'Ajuste de Volumen'!AE49</f>
        <v>0</v>
      </c>
      <c r="F84" s="108">
        <f t="shared" si="2"/>
        <v>0</v>
      </c>
      <c r="G84" s="108">
        <f>'Balance de Energía'!AE48</f>
        <v>0</v>
      </c>
      <c r="H84" s="91">
        <f t="shared" si="3"/>
        <v>0</v>
      </c>
      <c r="I84" s="284">
        <f>'dias trabajados'!AE45</f>
        <v>0</v>
      </c>
    </row>
    <row r="85" spans="1:9" hidden="1" x14ac:dyDescent="0.2">
      <c r="A85" s="259" t="s">
        <v>230</v>
      </c>
      <c r="B85" s="14"/>
      <c r="C85" s="92"/>
      <c r="D85" s="89">
        <f t="shared" si="1"/>
        <v>0</v>
      </c>
      <c r="E85" s="90">
        <f>'Ajuste de Volumen'!AF49</f>
        <v>0</v>
      </c>
      <c r="F85" s="108">
        <f t="shared" si="2"/>
        <v>0</v>
      </c>
      <c r="G85" s="108">
        <f>'Balance de Energía'!AF48</f>
        <v>0</v>
      </c>
      <c r="H85" s="91">
        <f t="shared" si="3"/>
        <v>0</v>
      </c>
      <c r="I85" s="284">
        <f>'dias trabajados'!AF45</f>
        <v>0</v>
      </c>
    </row>
    <row r="86" spans="1:9" hidden="1" x14ac:dyDescent="0.2">
      <c r="A86" s="259" t="s">
        <v>231</v>
      </c>
      <c r="B86" s="14"/>
      <c r="C86" s="92"/>
      <c r="D86" s="89">
        <f t="shared" si="1"/>
        <v>0</v>
      </c>
      <c r="E86" s="90">
        <f>'Ajuste de Volumen'!AG49</f>
        <v>0</v>
      </c>
      <c r="F86" s="108">
        <f t="shared" si="2"/>
        <v>0</v>
      </c>
      <c r="G86" s="108">
        <f>'Balance de Energía'!AG48</f>
        <v>0</v>
      </c>
      <c r="H86" s="91">
        <f t="shared" si="3"/>
        <v>0</v>
      </c>
      <c r="I86" s="284">
        <f>'dias trabajados'!AG45</f>
        <v>0</v>
      </c>
    </row>
    <row r="87" spans="1:9" hidden="1" x14ac:dyDescent="0.2">
      <c r="A87" s="259" t="s">
        <v>232</v>
      </c>
      <c r="B87" s="14"/>
      <c r="C87" s="92"/>
      <c r="D87" s="89">
        <f t="shared" si="1"/>
        <v>0</v>
      </c>
      <c r="E87" s="90">
        <f>'Ajuste de Volumen'!AH49</f>
        <v>0</v>
      </c>
      <c r="F87" s="108">
        <f t="shared" si="2"/>
        <v>0</v>
      </c>
      <c r="G87" s="108">
        <f>'Balance de Energía'!AH48</f>
        <v>0</v>
      </c>
      <c r="H87" s="91">
        <f t="shared" si="3"/>
        <v>0</v>
      </c>
      <c r="I87" s="284">
        <f>'dias trabajados'!AH45</f>
        <v>0</v>
      </c>
    </row>
    <row r="88" spans="1:9" hidden="1" x14ac:dyDescent="0.2">
      <c r="A88" s="259" t="s">
        <v>233</v>
      </c>
      <c r="B88" s="14"/>
      <c r="C88" s="92"/>
      <c r="D88" s="89">
        <f>E88/(1000*0.3048^3)</f>
        <v>0</v>
      </c>
      <c r="E88" s="90">
        <f>'Ajuste de Volumen'!AI49</f>
        <v>0</v>
      </c>
      <c r="F88" s="108">
        <f t="shared" si="2"/>
        <v>0</v>
      </c>
      <c r="G88" s="108">
        <f>'Balance de Energía'!AI48</f>
        <v>0</v>
      </c>
      <c r="H88" s="91">
        <f t="shared" si="3"/>
        <v>0</v>
      </c>
      <c r="I88" s="284">
        <f>'dias trabajados'!AI45</f>
        <v>0</v>
      </c>
    </row>
    <row r="89" spans="1:9" ht="13.5" hidden="1" thickBot="1" x14ac:dyDescent="0.25">
      <c r="A89" s="259" t="s">
        <v>234</v>
      </c>
      <c r="B89" s="263"/>
      <c r="C89" s="285"/>
      <c r="D89" s="89">
        <f>E89/(1000*0.3048^3)</f>
        <v>0</v>
      </c>
      <c r="E89" s="90">
        <f>'Ajuste de Volumen'!AJ49</f>
        <v>0</v>
      </c>
      <c r="F89" s="108">
        <f t="shared" si="2"/>
        <v>0</v>
      </c>
      <c r="G89" s="108">
        <f>'Balance de Energía'!AJ48</f>
        <v>0</v>
      </c>
      <c r="H89" s="91">
        <f t="shared" si="3"/>
        <v>0</v>
      </c>
      <c r="I89" s="284">
        <f>'dias trabajados'!AJ45</f>
        <v>0</v>
      </c>
    </row>
    <row r="90" spans="1:9" ht="13.5" thickBot="1" x14ac:dyDescent="0.25">
      <c r="A90" s="679"/>
      <c r="B90" s="263"/>
      <c r="C90" s="285" t="s">
        <v>3</v>
      </c>
      <c r="D90" s="680">
        <f>SUM(D55:D89)</f>
        <v>39031.9238552592</v>
      </c>
      <c r="E90" s="680">
        <f>SUM(E55:E89)</f>
        <v>1105261</v>
      </c>
      <c r="F90" s="681">
        <f>SUM(F55:F89)</f>
        <v>38389.764557002731</v>
      </c>
      <c r="G90" s="681">
        <f>SUM(G55:G89)</f>
        <v>40504.027094309276</v>
      </c>
      <c r="H90" s="682">
        <f>SUM(H55:H89)</f>
        <v>1</v>
      </c>
      <c r="I90" s="683"/>
    </row>
    <row r="91" spans="1:9" ht="13.5" thickTop="1" x14ac:dyDescent="0.2">
      <c r="A91" s="15"/>
      <c r="C91" s="73"/>
    </row>
    <row r="92" spans="1:9" ht="13.5" thickBot="1" x14ac:dyDescent="0.25">
      <c r="A92" s="15" t="s">
        <v>27</v>
      </c>
      <c r="C92" s="73"/>
    </row>
    <row r="93" spans="1:9" ht="13.5" thickTop="1" x14ac:dyDescent="0.2">
      <c r="A93" s="812" t="s">
        <v>5</v>
      </c>
      <c r="B93" s="813"/>
      <c r="C93" s="814" t="s">
        <v>28</v>
      </c>
      <c r="D93" s="815"/>
    </row>
    <row r="94" spans="1:9" x14ac:dyDescent="0.2">
      <c r="A94" s="273" t="s">
        <v>6</v>
      </c>
      <c r="B94" s="79" t="s">
        <v>7</v>
      </c>
      <c r="C94" s="80" t="s">
        <v>63</v>
      </c>
      <c r="D94" s="274" t="s">
        <v>15</v>
      </c>
    </row>
    <row r="95" spans="1:9" x14ac:dyDescent="0.2">
      <c r="A95" s="275">
        <f>F11</f>
        <v>40527</v>
      </c>
      <c r="B95" s="82">
        <f>G11</f>
        <v>41364</v>
      </c>
      <c r="C95" s="93">
        <f>'Balance de Energía'!$AO$48</f>
        <v>0</v>
      </c>
      <c r="D95" s="276">
        <f>C95*0.9478</f>
        <v>0</v>
      </c>
    </row>
    <row r="96" spans="1:9" ht="13.5" thickBot="1" x14ac:dyDescent="0.25">
      <c r="A96" s="277"/>
      <c r="B96" s="278"/>
      <c r="C96" s="286"/>
      <c r="D96" s="280"/>
    </row>
    <row r="97" spans="1:6" ht="13.5" thickTop="1" x14ac:dyDescent="0.2">
      <c r="A97" s="270"/>
      <c r="B97" s="270"/>
      <c r="C97" s="272">
        <f>SUM(C95:C96)</f>
        <v>0</v>
      </c>
      <c r="D97" s="272">
        <f>D95</f>
        <v>0</v>
      </c>
    </row>
    <row r="98" spans="1:6" x14ac:dyDescent="0.2">
      <c r="A98" s="84"/>
      <c r="B98" s="84"/>
      <c r="C98" s="77"/>
      <c r="D98" s="85"/>
    </row>
    <row r="99" spans="1:6" ht="15.75" x14ac:dyDescent="0.25">
      <c r="A99" s="49" t="s">
        <v>29</v>
      </c>
    </row>
    <row r="100" spans="1:6" ht="13.5" thickBot="1" x14ac:dyDescent="0.25"/>
    <row r="101" spans="1:6" ht="13.5" thickTop="1" x14ac:dyDescent="0.2">
      <c r="A101" s="86" t="s">
        <v>30</v>
      </c>
      <c r="D101" s="451">
        <f>(F53-F90)/F53</f>
        <v>-1.2419215428418814E-6</v>
      </c>
      <c r="E101" s="10" t="s">
        <v>126</v>
      </c>
      <c r="F101" s="10" t="str">
        <f>IF(D101&gt;0,"Igasamex",IF(B101=0," ","Usuarios"))</f>
        <v xml:space="preserve"> </v>
      </c>
    </row>
    <row r="102" spans="1:6" x14ac:dyDescent="0.2">
      <c r="A102" s="86" t="s">
        <v>31</v>
      </c>
      <c r="D102" s="452">
        <f>(F53-D97)/F53</f>
        <v>1</v>
      </c>
      <c r="E102" s="10" t="s">
        <v>126</v>
      </c>
      <c r="F102" s="10" t="str">
        <f>IF(D102&gt;0,"Igasamex",IF(B102=0," ","Pemex"))</f>
        <v>Igasamex</v>
      </c>
    </row>
    <row r="103" spans="1:6" x14ac:dyDescent="0.2">
      <c r="A103" s="86" t="s">
        <v>37</v>
      </c>
      <c r="D103" s="453">
        <f>(F90-D97)/F90</f>
        <v>1</v>
      </c>
      <c r="E103" s="10" t="s">
        <v>126</v>
      </c>
      <c r="F103" s="10" t="str">
        <f>IF(D103&gt;0,"Usuarios",IF(B103=0," ","Pemex"))</f>
        <v>Usuarios</v>
      </c>
    </row>
    <row r="104" spans="1:6" ht="13.5" thickBot="1" x14ac:dyDescent="0.25">
      <c r="A104" s="86" t="s">
        <v>32</v>
      </c>
      <c r="D104" s="281">
        <f>'Balance de Energía'!AS42</f>
        <v>979.14999294247696</v>
      </c>
      <c r="E104" s="11" t="s">
        <v>33</v>
      </c>
    </row>
    <row r="105" spans="1:6" ht="13.5" thickTop="1" x14ac:dyDescent="0.2"/>
  </sheetData>
  <mergeCells count="13">
    <mergeCell ref="A1:J1"/>
    <mergeCell ref="A2:J2"/>
    <mergeCell ref="A3:J3"/>
    <mergeCell ref="A4:J4"/>
    <mergeCell ref="A93:B93"/>
    <mergeCell ref="C93:D93"/>
    <mergeCell ref="A6:J6"/>
    <mergeCell ref="F9:G9"/>
    <mergeCell ref="I9:J9"/>
    <mergeCell ref="A51:C51"/>
    <mergeCell ref="D51:E51"/>
    <mergeCell ref="F51:G51"/>
    <mergeCell ref="I51:I52"/>
  </mergeCells>
  <phoneticPr fontId="2" type="noConversion"/>
  <printOptions horizontalCentered="1"/>
  <pageMargins left="0.39370078740157483" right="0.39370078740157483" top="0.19685039370078741" bottom="0.19685039370078741" header="0" footer="0"/>
  <pageSetup scale="43" orientation="landscape" r:id="rId1"/>
  <headerFooter alignWithMargins="0">
    <oddFooter>&amp;LReporte de Balance de Medición y Facturación Igasamex&amp;RFSCI 7.5.9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J105"/>
  <sheetViews>
    <sheetView view="pageBreakPreview" topLeftCell="A61" zoomScale="115" zoomScaleNormal="100" workbookViewId="0">
      <selection activeCell="G73" sqref="G73"/>
    </sheetView>
  </sheetViews>
  <sheetFormatPr baseColWidth="10" defaultRowHeight="12.75" x14ac:dyDescent="0.2"/>
  <cols>
    <col min="1" max="1" width="12.7109375" customWidth="1"/>
    <col min="3" max="3" width="20" bestFit="1" customWidth="1"/>
    <col min="4" max="4" width="15.5703125" customWidth="1"/>
    <col min="5" max="5" width="22.140625" customWidth="1"/>
    <col min="6" max="6" width="16.5703125" bestFit="1" customWidth="1"/>
    <col min="7" max="7" width="17.140625" bestFit="1" customWidth="1"/>
    <col min="8" max="8" width="13" style="94" bestFit="1" customWidth="1"/>
    <col min="9" max="9" width="11.5703125" bestFit="1" customWidth="1"/>
    <col min="10" max="10" width="17.5703125" customWidth="1"/>
  </cols>
  <sheetData>
    <row r="1" spans="1:10" ht="15.75" x14ac:dyDescent="0.25">
      <c r="A1" s="833" t="s">
        <v>0</v>
      </c>
      <c r="B1" s="833"/>
      <c r="C1" s="833"/>
      <c r="D1" s="833"/>
      <c r="E1" s="833"/>
      <c r="F1" s="833"/>
      <c r="G1" s="833"/>
      <c r="H1" s="833"/>
      <c r="I1" s="833"/>
      <c r="J1" s="833"/>
    </row>
    <row r="2" spans="1:10" x14ac:dyDescent="0.2">
      <c r="A2" s="811" t="s">
        <v>8</v>
      </c>
      <c r="B2" s="811"/>
      <c r="C2" s="811"/>
      <c r="D2" s="811"/>
      <c r="E2" s="811"/>
      <c r="F2" s="811"/>
      <c r="G2" s="811"/>
      <c r="H2" s="811"/>
      <c r="I2" s="811"/>
      <c r="J2" s="811"/>
    </row>
    <row r="3" spans="1:10" x14ac:dyDescent="0.2">
      <c r="A3" s="811" t="s">
        <v>9</v>
      </c>
      <c r="B3" s="811"/>
      <c r="C3" s="811"/>
      <c r="D3" s="811"/>
      <c r="E3" s="811"/>
      <c r="F3" s="811"/>
      <c r="G3" s="811"/>
      <c r="H3" s="811"/>
      <c r="I3" s="811"/>
      <c r="J3" s="811"/>
    </row>
    <row r="4" spans="1:10" x14ac:dyDescent="0.2">
      <c r="A4" s="811"/>
      <c r="B4" s="811"/>
      <c r="C4" s="811"/>
      <c r="D4" s="811"/>
      <c r="E4" s="811"/>
      <c r="F4" s="811"/>
      <c r="G4" s="811"/>
      <c r="H4" s="811"/>
      <c r="I4" s="811"/>
      <c r="J4" s="811"/>
    </row>
    <row r="5" spans="1:10" x14ac:dyDescent="0.2">
      <c r="A5" s="9"/>
      <c r="B5" s="9"/>
      <c r="C5" s="9"/>
      <c r="D5" s="9"/>
      <c r="E5" s="9"/>
      <c r="F5" s="9"/>
      <c r="G5" s="9"/>
      <c r="H5" s="21"/>
      <c r="I5" s="9"/>
    </row>
    <row r="6" spans="1:10" ht="15.75" x14ac:dyDescent="0.25">
      <c r="A6" s="834" t="s">
        <v>1</v>
      </c>
      <c r="B6" s="834"/>
      <c r="C6" s="834"/>
      <c r="D6" s="834"/>
      <c r="E6" s="834"/>
      <c r="F6" s="834"/>
      <c r="G6" s="834"/>
      <c r="H6" s="834"/>
      <c r="I6" s="834"/>
      <c r="J6" s="834"/>
    </row>
    <row r="8" spans="1:10" ht="13.5" thickBot="1" x14ac:dyDescent="0.25"/>
    <row r="9" spans="1:10" ht="13.5" thickTop="1" x14ac:dyDescent="0.2">
      <c r="A9" s="22" t="s">
        <v>2</v>
      </c>
      <c r="B9" s="23" t="s">
        <v>277</v>
      </c>
      <c r="C9" s="24"/>
      <c r="D9" s="25"/>
      <c r="E9" s="26" t="s">
        <v>12</v>
      </c>
      <c r="F9" s="817">
        <v>40513</v>
      </c>
      <c r="G9" s="818"/>
      <c r="H9" s="95" t="s">
        <v>11</v>
      </c>
      <c r="I9" s="819">
        <f ca="1">TODAY()</f>
        <v>41463</v>
      </c>
      <c r="J9" s="820"/>
    </row>
    <row r="10" spans="1:10" ht="13.5" x14ac:dyDescent="0.25">
      <c r="A10" s="28" t="s">
        <v>18</v>
      </c>
      <c r="B10" s="29" t="s">
        <v>278</v>
      </c>
      <c r="C10" s="30"/>
      <c r="D10" s="31"/>
      <c r="E10" s="32"/>
      <c r="F10" s="33" t="s">
        <v>6</v>
      </c>
      <c r="G10" s="34" t="s">
        <v>7</v>
      </c>
      <c r="H10" s="96"/>
      <c r="I10" s="36"/>
      <c r="J10" s="37"/>
    </row>
    <row r="11" spans="1:10" ht="13.5" x14ac:dyDescent="0.25">
      <c r="A11" s="28" t="s">
        <v>17</v>
      </c>
      <c r="B11" s="669" t="s">
        <v>236</v>
      </c>
      <c r="C11" s="30"/>
      <c r="D11" s="31"/>
      <c r="E11" s="35" t="s">
        <v>13</v>
      </c>
      <c r="F11" s="38">
        <f>F9</f>
        <v>40513</v>
      </c>
      <c r="G11" s="38">
        <f>F11+13</f>
        <v>40526</v>
      </c>
      <c r="H11" s="35" t="s">
        <v>73</v>
      </c>
      <c r="I11" s="29" t="s">
        <v>235</v>
      </c>
      <c r="J11" s="37"/>
    </row>
    <row r="12" spans="1:10" ht="13.5" x14ac:dyDescent="0.25">
      <c r="A12" s="28" t="s">
        <v>10</v>
      </c>
      <c r="B12" s="29" t="s">
        <v>266</v>
      </c>
      <c r="C12" s="30"/>
      <c r="D12" s="31"/>
      <c r="E12" s="35"/>
      <c r="F12" s="39"/>
      <c r="G12" s="40"/>
      <c r="H12" s="35" t="s">
        <v>74</v>
      </c>
      <c r="I12" s="29" t="s">
        <v>35</v>
      </c>
      <c r="J12" s="37"/>
    </row>
    <row r="13" spans="1:10" ht="13.5" x14ac:dyDescent="0.25">
      <c r="A13" s="28"/>
      <c r="B13" s="29" t="s">
        <v>267</v>
      </c>
      <c r="C13" s="30"/>
      <c r="D13" s="31"/>
      <c r="E13" s="35"/>
      <c r="F13" s="39"/>
      <c r="G13" s="40"/>
      <c r="H13" s="35" t="s">
        <v>14</v>
      </c>
      <c r="I13" s="29"/>
      <c r="J13" s="37"/>
    </row>
    <row r="14" spans="1:10" ht="14.25" thickBot="1" x14ac:dyDescent="0.3">
      <c r="A14" s="41"/>
      <c r="B14" s="109" t="s">
        <v>247</v>
      </c>
      <c r="C14" s="42"/>
      <c r="D14" s="43"/>
      <c r="E14" s="110"/>
      <c r="F14" s="111"/>
      <c r="G14" s="112"/>
      <c r="H14" s="110"/>
      <c r="I14" s="109"/>
      <c r="J14" s="48"/>
    </row>
    <row r="15" spans="1:10" ht="14.25" thickTop="1" x14ac:dyDescent="0.25">
      <c r="A15" s="28"/>
      <c r="B15" s="29" t="s">
        <v>248</v>
      </c>
      <c r="C15" s="30"/>
      <c r="D15" s="31"/>
      <c r="E15" s="35"/>
      <c r="F15" s="39"/>
      <c r="G15" s="40"/>
      <c r="H15" s="96"/>
      <c r="I15" s="29"/>
      <c r="J15" s="37"/>
    </row>
    <row r="16" spans="1:10" ht="13.5" x14ac:dyDescent="0.25">
      <c r="A16" s="28"/>
      <c r="B16" s="29" t="s">
        <v>268</v>
      </c>
      <c r="C16" s="30"/>
      <c r="D16" s="31"/>
      <c r="E16" s="35"/>
      <c r="F16" s="39"/>
      <c r="G16" s="40"/>
      <c r="H16" s="96"/>
      <c r="I16" s="29"/>
      <c r="J16" s="37"/>
    </row>
    <row r="17" spans="1:10" ht="13.5" x14ac:dyDescent="0.25">
      <c r="A17" s="28"/>
      <c r="B17" s="29" t="s">
        <v>250</v>
      </c>
      <c r="C17" s="30"/>
      <c r="D17" s="31"/>
      <c r="E17" s="35"/>
      <c r="F17" s="39"/>
      <c r="G17" s="40"/>
      <c r="H17" s="96"/>
      <c r="I17" s="29"/>
      <c r="J17" s="37"/>
    </row>
    <row r="18" spans="1:10" ht="13.5" x14ac:dyDescent="0.25">
      <c r="A18" s="28"/>
      <c r="B18" s="29" t="s">
        <v>251</v>
      </c>
      <c r="C18" s="30"/>
      <c r="D18" s="31"/>
      <c r="E18" s="35"/>
      <c r="F18" s="39"/>
      <c r="G18" s="40"/>
      <c r="H18" s="96"/>
      <c r="I18" s="29"/>
      <c r="J18" s="37"/>
    </row>
    <row r="19" spans="1:10" ht="13.5" x14ac:dyDescent="0.25">
      <c r="A19" s="28"/>
      <c r="B19" s="29" t="s">
        <v>269</v>
      </c>
      <c r="C19" s="30"/>
      <c r="D19" s="31"/>
      <c r="E19" s="35"/>
      <c r="F19" s="39"/>
      <c r="G19" s="40"/>
      <c r="H19" s="96"/>
      <c r="I19" s="29"/>
      <c r="J19" s="37"/>
    </row>
    <row r="20" spans="1:10" ht="13.5" x14ac:dyDescent="0.25">
      <c r="A20" s="28"/>
      <c r="B20" s="29" t="s">
        <v>270</v>
      </c>
      <c r="C20" s="30"/>
      <c r="D20" s="31"/>
      <c r="E20" s="35"/>
      <c r="F20" s="39"/>
      <c r="G20" s="40"/>
      <c r="H20" s="96"/>
      <c r="I20" s="29"/>
      <c r="J20" s="37"/>
    </row>
    <row r="21" spans="1:10" ht="13.5" x14ac:dyDescent="0.25">
      <c r="A21" s="28"/>
      <c r="B21" s="29" t="s">
        <v>254</v>
      </c>
      <c r="C21" s="30"/>
      <c r="D21" s="31"/>
      <c r="E21" s="35"/>
      <c r="F21" s="39"/>
      <c r="G21" s="40"/>
      <c r="H21" s="96"/>
      <c r="I21" s="29"/>
      <c r="J21" s="37"/>
    </row>
    <row r="22" spans="1:10" ht="13.5" x14ac:dyDescent="0.25">
      <c r="A22" s="28"/>
      <c r="B22" s="29" t="s">
        <v>255</v>
      </c>
      <c r="C22" s="30"/>
      <c r="D22" s="31"/>
      <c r="E22" s="35"/>
      <c r="F22" s="39"/>
      <c r="G22" s="40"/>
      <c r="H22" s="96"/>
      <c r="I22" s="29"/>
      <c r="J22" s="37"/>
    </row>
    <row r="23" spans="1:10" ht="13.5" x14ac:dyDescent="0.25">
      <c r="A23" s="28"/>
      <c r="B23" s="29" t="s">
        <v>256</v>
      </c>
      <c r="C23" s="30"/>
      <c r="D23" s="31"/>
      <c r="E23" s="35"/>
      <c r="F23" s="39"/>
      <c r="G23" s="40"/>
      <c r="H23" s="96"/>
      <c r="I23" s="29"/>
      <c r="J23" s="37"/>
    </row>
    <row r="24" spans="1:10" ht="13.5" x14ac:dyDescent="0.25">
      <c r="A24" s="28"/>
      <c r="B24" s="29" t="s">
        <v>271</v>
      </c>
      <c r="C24" s="30"/>
      <c r="D24" s="31"/>
      <c r="E24" s="35"/>
      <c r="F24" s="39"/>
      <c r="G24" s="40"/>
      <c r="H24" s="96"/>
      <c r="I24" s="29"/>
      <c r="J24" s="37"/>
    </row>
    <row r="25" spans="1:10" ht="13.5" x14ac:dyDescent="0.25">
      <c r="A25" s="28"/>
      <c r="B25" s="29" t="s">
        <v>258</v>
      </c>
      <c r="C25" s="30"/>
      <c r="D25" s="31"/>
      <c r="E25" s="35"/>
      <c r="F25" s="39"/>
      <c r="G25" s="40"/>
      <c r="H25" s="96"/>
      <c r="I25" s="29"/>
      <c r="J25" s="37"/>
    </row>
    <row r="26" spans="1:10" ht="13.5" x14ac:dyDescent="0.25">
      <c r="A26" s="28"/>
      <c r="B26" s="29" t="s">
        <v>272</v>
      </c>
      <c r="C26" s="30"/>
      <c r="D26" s="31"/>
      <c r="E26" s="35"/>
      <c r="F26" s="39"/>
      <c r="G26" s="40"/>
      <c r="H26" s="96"/>
      <c r="I26" s="29"/>
      <c r="J26" s="37"/>
    </row>
    <row r="27" spans="1:10" ht="13.5" x14ac:dyDescent="0.25">
      <c r="A27" s="28"/>
      <c r="B27" s="29" t="s">
        <v>273</v>
      </c>
      <c r="C27" s="30"/>
      <c r="D27" s="31"/>
      <c r="E27" s="35"/>
      <c r="F27" s="39"/>
      <c r="G27" s="40"/>
      <c r="H27" s="96"/>
      <c r="I27" s="29"/>
      <c r="J27" s="37"/>
    </row>
    <row r="28" spans="1:10" ht="13.5" x14ac:dyDescent="0.25">
      <c r="A28" s="28"/>
      <c r="B28" s="29" t="s">
        <v>274</v>
      </c>
      <c r="C28" s="30"/>
      <c r="D28" s="31"/>
      <c r="E28" s="35"/>
      <c r="F28" s="39"/>
      <c r="G28" s="40"/>
      <c r="H28" s="96"/>
      <c r="I28" s="29"/>
      <c r="J28" s="37"/>
    </row>
    <row r="29" spans="1:10" ht="13.5" x14ac:dyDescent="0.25">
      <c r="A29" s="28"/>
      <c r="B29" s="29" t="s">
        <v>275</v>
      </c>
      <c r="C29" s="30"/>
      <c r="D29" s="31"/>
      <c r="E29" s="35"/>
      <c r="F29" s="39"/>
      <c r="G29" s="40"/>
      <c r="H29" s="96"/>
      <c r="I29" s="29"/>
      <c r="J29" s="37"/>
    </row>
    <row r="30" spans="1:10" ht="13.5" x14ac:dyDescent="0.25">
      <c r="A30" s="28"/>
      <c r="B30" s="29" t="s">
        <v>276</v>
      </c>
      <c r="C30" s="30"/>
      <c r="D30" s="31"/>
      <c r="E30" s="35"/>
      <c r="F30" s="39"/>
      <c r="G30" s="40"/>
      <c r="H30" s="96"/>
      <c r="I30" s="29"/>
      <c r="J30" s="37"/>
    </row>
    <row r="31" spans="1:10" ht="13.5" hidden="1" x14ac:dyDescent="0.25">
      <c r="A31" s="28"/>
      <c r="B31" s="29" t="s">
        <v>219</v>
      </c>
      <c r="C31" s="30"/>
      <c r="D31" s="31"/>
      <c r="E31" s="35"/>
      <c r="F31" s="39"/>
      <c r="G31" s="40"/>
      <c r="H31" s="96"/>
      <c r="I31" s="29"/>
      <c r="J31" s="37"/>
    </row>
    <row r="32" spans="1:10" ht="13.5" hidden="1" x14ac:dyDescent="0.25">
      <c r="A32" s="28"/>
      <c r="B32" s="29" t="s">
        <v>220</v>
      </c>
      <c r="C32" s="30"/>
      <c r="D32" s="31"/>
      <c r="E32" s="35"/>
      <c r="F32" s="39"/>
      <c r="G32" s="40"/>
      <c r="H32" s="96"/>
      <c r="I32" s="29"/>
      <c r="J32" s="37"/>
    </row>
    <row r="33" spans="1:10" ht="13.5" hidden="1" x14ac:dyDescent="0.25">
      <c r="A33" s="28"/>
      <c r="B33" s="29" t="s">
        <v>221</v>
      </c>
      <c r="C33" s="30"/>
      <c r="D33" s="31"/>
      <c r="E33" s="35"/>
      <c r="F33" s="39"/>
      <c r="G33" s="40"/>
      <c r="H33" s="96"/>
      <c r="I33" s="29"/>
      <c r="J33" s="37"/>
    </row>
    <row r="34" spans="1:10" ht="13.5" hidden="1" x14ac:dyDescent="0.25">
      <c r="A34" s="28"/>
      <c r="B34" s="29" t="s">
        <v>222</v>
      </c>
      <c r="C34" s="30"/>
      <c r="D34" s="31"/>
      <c r="E34" s="35"/>
      <c r="F34" s="39"/>
      <c r="G34" s="40"/>
      <c r="H34" s="96"/>
      <c r="I34" s="29"/>
      <c r="J34" s="37"/>
    </row>
    <row r="35" spans="1:10" ht="13.5" hidden="1" x14ac:dyDescent="0.25">
      <c r="A35" s="28"/>
      <c r="B35" s="29" t="s">
        <v>223</v>
      </c>
      <c r="C35" s="30"/>
      <c r="D35" s="31"/>
      <c r="E35" s="35"/>
      <c r="F35" s="39"/>
      <c r="G35" s="40"/>
      <c r="H35" s="96"/>
      <c r="I35" s="29"/>
      <c r="J35" s="37"/>
    </row>
    <row r="36" spans="1:10" ht="13.5" hidden="1" x14ac:dyDescent="0.25">
      <c r="A36" s="28"/>
      <c r="B36" s="29" t="s">
        <v>224</v>
      </c>
      <c r="C36" s="30"/>
      <c r="D36" s="31"/>
      <c r="E36" s="35"/>
      <c r="F36" s="39"/>
      <c r="G36" s="40"/>
      <c r="H36" s="96"/>
      <c r="I36" s="29"/>
      <c r="J36" s="37"/>
    </row>
    <row r="37" spans="1:10" ht="13.5" hidden="1" x14ac:dyDescent="0.25">
      <c r="A37" s="28"/>
      <c r="B37" s="29" t="s">
        <v>225</v>
      </c>
      <c r="C37" s="30"/>
      <c r="D37" s="31"/>
      <c r="E37" s="35"/>
      <c r="F37" s="39"/>
      <c r="G37" s="40"/>
      <c r="H37" s="96"/>
      <c r="I37" s="29"/>
      <c r="J37" s="37"/>
    </row>
    <row r="38" spans="1:10" ht="13.5" hidden="1" x14ac:dyDescent="0.25">
      <c r="A38" s="28"/>
      <c r="B38" s="29" t="s">
        <v>226</v>
      </c>
      <c r="C38" s="30"/>
      <c r="D38" s="31"/>
      <c r="E38" s="35"/>
      <c r="F38" s="39"/>
      <c r="G38" s="40"/>
      <c r="H38" s="96"/>
      <c r="I38" s="29"/>
      <c r="J38" s="37"/>
    </row>
    <row r="39" spans="1:10" ht="13.5" hidden="1" x14ac:dyDescent="0.25">
      <c r="A39" s="28"/>
      <c r="B39" s="29" t="s">
        <v>227</v>
      </c>
      <c r="C39" s="30"/>
      <c r="D39" s="31"/>
      <c r="E39" s="35"/>
      <c r="F39" s="39"/>
      <c r="G39" s="40"/>
      <c r="H39" s="96"/>
      <c r="I39" s="29"/>
      <c r="J39" s="37"/>
    </row>
    <row r="40" spans="1:10" ht="13.5" hidden="1" x14ac:dyDescent="0.25">
      <c r="A40" s="28"/>
      <c r="B40" s="29" t="s">
        <v>228</v>
      </c>
      <c r="C40" s="30"/>
      <c r="D40" s="31"/>
      <c r="E40" s="35"/>
      <c r="F40" s="39"/>
      <c r="G40" s="40"/>
      <c r="H40" s="96"/>
      <c r="I40" s="29"/>
      <c r="J40" s="37"/>
    </row>
    <row r="41" spans="1:10" ht="13.5" hidden="1" x14ac:dyDescent="0.25">
      <c r="A41" s="28"/>
      <c r="B41" s="29" t="s">
        <v>229</v>
      </c>
      <c r="C41" s="30"/>
      <c r="D41" s="31"/>
      <c r="E41" s="35"/>
      <c r="F41" s="39"/>
      <c r="G41" s="40"/>
      <c r="H41" s="96"/>
      <c r="I41" s="29"/>
      <c r="J41" s="37"/>
    </row>
    <row r="42" spans="1:10" ht="13.5" hidden="1" x14ac:dyDescent="0.25">
      <c r="A42" s="28"/>
      <c r="B42" s="29" t="s">
        <v>230</v>
      </c>
      <c r="C42" s="30"/>
      <c r="D42" s="31"/>
      <c r="E42" s="35"/>
      <c r="F42" s="39"/>
      <c r="G42" s="40"/>
      <c r="H42" s="96"/>
      <c r="I42" s="29"/>
      <c r="J42" s="37"/>
    </row>
    <row r="43" spans="1:10" ht="13.5" hidden="1" x14ac:dyDescent="0.25">
      <c r="A43" s="28"/>
      <c r="B43" s="29" t="s">
        <v>231</v>
      </c>
      <c r="C43" s="30"/>
      <c r="D43" s="31"/>
      <c r="E43" s="35"/>
      <c r="F43" s="39"/>
      <c r="G43" s="40"/>
      <c r="H43" s="96"/>
      <c r="I43" s="29"/>
      <c r="J43" s="37"/>
    </row>
    <row r="44" spans="1:10" ht="13.5" hidden="1" x14ac:dyDescent="0.25">
      <c r="A44" s="28"/>
      <c r="B44" s="29" t="s">
        <v>232</v>
      </c>
      <c r="C44" s="30"/>
      <c r="D44" s="31"/>
      <c r="E44" s="35"/>
      <c r="F44" s="39"/>
      <c r="G44" s="40"/>
      <c r="H44" s="96"/>
      <c r="I44" s="29"/>
      <c r="J44" s="37"/>
    </row>
    <row r="45" spans="1:10" ht="13.5" hidden="1" x14ac:dyDescent="0.25">
      <c r="A45" s="28"/>
      <c r="B45" s="29" t="s">
        <v>233</v>
      </c>
      <c r="C45" s="30"/>
      <c r="D45" s="31"/>
      <c r="E45" s="35"/>
      <c r="F45" s="39"/>
      <c r="G45" s="40"/>
      <c r="H45" s="96"/>
      <c r="I45" s="29"/>
      <c r="J45" s="37"/>
    </row>
    <row r="46" spans="1:10" ht="14.25" hidden="1" thickBot="1" x14ac:dyDescent="0.3">
      <c r="A46" s="41"/>
      <c r="B46" s="29" t="s">
        <v>234</v>
      </c>
      <c r="C46" s="42"/>
      <c r="D46" s="43"/>
      <c r="E46" s="44"/>
      <c r="F46" s="45"/>
      <c r="G46" s="46"/>
      <c r="H46" s="97"/>
      <c r="I46" s="47"/>
      <c r="J46" s="48"/>
    </row>
    <row r="48" spans="1:10" ht="15.75" x14ac:dyDescent="0.25">
      <c r="A48" s="49" t="s">
        <v>19</v>
      </c>
    </row>
    <row r="49" spans="1:9" ht="15.75" x14ac:dyDescent="0.25">
      <c r="A49" s="49"/>
    </row>
    <row r="50" spans="1:9" ht="13.5" thickBot="1" x14ac:dyDescent="0.25">
      <c r="A50" s="15" t="s">
        <v>20</v>
      </c>
    </row>
    <row r="51" spans="1:9" ht="13.5" thickTop="1" x14ac:dyDescent="0.2">
      <c r="A51" s="821" t="s">
        <v>21</v>
      </c>
      <c r="B51" s="822"/>
      <c r="C51" s="823"/>
      <c r="D51" s="835" t="s">
        <v>22</v>
      </c>
      <c r="E51" s="823"/>
      <c r="F51" s="829" t="s">
        <v>23</v>
      </c>
      <c r="G51" s="830"/>
      <c r="H51" s="287"/>
      <c r="I51" s="831" t="s">
        <v>36</v>
      </c>
    </row>
    <row r="52" spans="1:9" x14ac:dyDescent="0.2">
      <c r="A52" s="288"/>
      <c r="B52" s="98"/>
      <c r="C52" s="99"/>
      <c r="D52" s="53" t="s">
        <v>16</v>
      </c>
      <c r="E52" s="53" t="s">
        <v>34</v>
      </c>
      <c r="F52" s="87" t="s">
        <v>24</v>
      </c>
      <c r="G52" s="87" t="s">
        <v>64</v>
      </c>
      <c r="H52" s="100" t="s">
        <v>25</v>
      </c>
      <c r="I52" s="832"/>
    </row>
    <row r="53" spans="1:9" x14ac:dyDescent="0.2">
      <c r="A53" s="257" t="s">
        <v>26</v>
      </c>
      <c r="B53" s="55"/>
      <c r="C53" s="56"/>
      <c r="D53" s="244">
        <f>E53/(1000*0.3048^3)</f>
        <v>43304.574752558648</v>
      </c>
      <c r="E53" s="244">
        <f>+'Ajuste de Volumen'!AN44</f>
        <v>1226248.9999999998</v>
      </c>
      <c r="F53" s="245">
        <f>G53*0.9478</f>
        <v>42176.773009000004</v>
      </c>
      <c r="G53" s="245">
        <f>+'Balance de Energía'!AN44</f>
        <v>44499.655000000006</v>
      </c>
      <c r="H53" s="248"/>
      <c r="I53" s="678">
        <f>MAX(I55:I85)</f>
        <v>14</v>
      </c>
    </row>
    <row r="54" spans="1:9" x14ac:dyDescent="0.2">
      <c r="A54" s="259"/>
      <c r="B54" s="14"/>
      <c r="C54" s="63"/>
      <c r="D54" s="64"/>
      <c r="E54" s="64"/>
      <c r="F54" s="65"/>
      <c r="G54" s="65"/>
      <c r="H54" s="101"/>
      <c r="I54" s="284"/>
    </row>
    <row r="55" spans="1:9" x14ac:dyDescent="0.2">
      <c r="A55" s="259" t="s">
        <v>266</v>
      </c>
      <c r="B55" s="102"/>
      <c r="C55" s="63"/>
      <c r="D55" s="90">
        <f>E55/(1000*0.3048^3)</f>
        <v>16.180430289066692</v>
      </c>
      <c r="E55" s="90">
        <f>'Ajuste de Volumen'!B44</f>
        <v>458.17876228805176</v>
      </c>
      <c r="F55" s="108">
        <f>G55/4.1868/0.252</f>
        <v>15.749388732097131</v>
      </c>
      <c r="G55" s="108">
        <f>'Balance de Energía'!B44</f>
        <v>16.616764267373156</v>
      </c>
      <c r="H55" s="103">
        <f t="shared" ref="H55:H85" si="0">F55/$F$90</f>
        <v>3.7341332797688329E-4</v>
      </c>
      <c r="I55" s="284">
        <f>'dias trabajados'!B44</f>
        <v>11</v>
      </c>
    </row>
    <row r="56" spans="1:9" x14ac:dyDescent="0.2">
      <c r="A56" s="259" t="s">
        <v>267</v>
      </c>
      <c r="B56" s="102"/>
      <c r="C56" s="63"/>
      <c r="D56" s="90">
        <f t="shared" ref="D56:D68" si="1">E56/(1000*0.3048^3)</f>
        <v>2524.2475867820526</v>
      </c>
      <c r="E56" s="90">
        <f>'Ajuste de Volumen'!C44</f>
        <v>71478.731675133604</v>
      </c>
      <c r="F56" s="108">
        <f t="shared" ref="F56:F68" si="2">G56/4.1868/0.252</f>
        <v>2458.1360217544648</v>
      </c>
      <c r="G56" s="108">
        <f>'Balance de Energía'!C44</f>
        <v>2593.5144217621614</v>
      </c>
      <c r="H56" s="103">
        <f t="shared" si="0"/>
        <v>5.8281674807639766E-2</v>
      </c>
      <c r="I56" s="284">
        <f>'dias trabajados'!C44</f>
        <v>14</v>
      </c>
    </row>
    <row r="57" spans="1:9" x14ac:dyDescent="0.2">
      <c r="A57" s="259" t="s">
        <v>247</v>
      </c>
      <c r="B57" s="102"/>
      <c r="C57" s="63"/>
      <c r="D57" s="90">
        <f t="shared" si="1"/>
        <v>536.28692972762849</v>
      </c>
      <c r="E57" s="90">
        <f>'Ajuste de Volumen'!D44</f>
        <v>15185.954718391942</v>
      </c>
      <c r="F57" s="108">
        <f t="shared" si="2"/>
        <v>522.38519717933525</v>
      </c>
      <c r="G57" s="108">
        <f>'Balance de Energía'!D44</f>
        <v>551.15483057471101</v>
      </c>
      <c r="H57" s="103">
        <f t="shared" si="0"/>
        <v>1.2385597833841881E-2</v>
      </c>
      <c r="I57" s="284">
        <f>'dias trabajados'!D44</f>
        <v>14</v>
      </c>
    </row>
    <row r="58" spans="1:9" x14ac:dyDescent="0.2">
      <c r="A58" s="259" t="s">
        <v>248</v>
      </c>
      <c r="B58" s="102"/>
      <c r="C58" s="63"/>
      <c r="D58" s="90">
        <f t="shared" si="1"/>
        <v>1510.3009273173479</v>
      </c>
      <c r="E58" s="90">
        <f>'Ajuste de Volumen'!E44</f>
        <v>42766.959666600691</v>
      </c>
      <c r="F58" s="108">
        <f t="shared" si="2"/>
        <v>1471.3766898303545</v>
      </c>
      <c r="G58" s="108">
        <f>'Balance de Energía'!E44</f>
        <v>1552.4107010953953</v>
      </c>
      <c r="H58" s="103">
        <f t="shared" si="0"/>
        <v>3.4885904196232428E-2</v>
      </c>
      <c r="I58" s="284">
        <f>'dias trabajados'!E44</f>
        <v>14</v>
      </c>
    </row>
    <row r="59" spans="1:9" x14ac:dyDescent="0.2">
      <c r="A59" s="259" t="s">
        <v>268</v>
      </c>
      <c r="B59" s="102"/>
      <c r="C59" s="63"/>
      <c r="D59" s="90">
        <f t="shared" si="1"/>
        <v>1428.9079318276204</v>
      </c>
      <c r="E59" s="90">
        <f>'Ajuste de Volumen'!F44</f>
        <v>40462.166699654728</v>
      </c>
      <c r="F59" s="108">
        <f t="shared" si="2"/>
        <v>1392.0996918012152</v>
      </c>
      <c r="G59" s="108">
        <f>'Balance de Energía'!F44</f>
        <v>1468.7676333875984</v>
      </c>
      <c r="H59" s="103">
        <f t="shared" si="0"/>
        <v>3.3006270124736885E-2</v>
      </c>
      <c r="I59" s="284">
        <f>'dias trabajados'!F44</f>
        <v>14</v>
      </c>
    </row>
    <row r="60" spans="1:9" x14ac:dyDescent="0.2">
      <c r="A60" s="259" t="s">
        <v>250</v>
      </c>
      <c r="B60" s="102"/>
      <c r="C60" s="63"/>
      <c r="D60" s="90">
        <f t="shared" si="1"/>
        <v>4434.6676198015793</v>
      </c>
      <c r="E60" s="90">
        <f>'Ajuste de Volumen'!G44</f>
        <v>125575.80267643114</v>
      </c>
      <c r="F60" s="108">
        <f t="shared" si="2"/>
        <v>4317.6569093404887</v>
      </c>
      <c r="G60" s="108">
        <f>'Balance de Energía'!G44</f>
        <v>4555.4458189027428</v>
      </c>
      <c r="H60" s="103">
        <f t="shared" si="0"/>
        <v>0.10237036262197409</v>
      </c>
      <c r="I60" s="284">
        <f>'dias trabajados'!G44</f>
        <v>14</v>
      </c>
    </row>
    <row r="61" spans="1:9" x14ac:dyDescent="0.2">
      <c r="A61" s="259" t="s">
        <v>251</v>
      </c>
      <c r="B61" s="102"/>
      <c r="C61" s="63"/>
      <c r="D61" s="90">
        <f>E61/(1000*0.3048^3)</f>
        <v>532.49019454162692</v>
      </c>
      <c r="E61" s="90">
        <f>'Ajuste de Volumen'!H44</f>
        <v>15078.443150579489</v>
      </c>
      <c r="F61" s="108">
        <f>G61/4.1868/0.252</f>
        <v>518.49926817933022</v>
      </c>
      <c r="G61" s="108">
        <f>'Balance de Energía'!H44</f>
        <v>547.05488947533127</v>
      </c>
      <c r="H61" s="103">
        <f t="shared" si="0"/>
        <v>1.2293463611691625E-2</v>
      </c>
      <c r="I61" s="284">
        <f>'dias trabajados'!H44</f>
        <v>14</v>
      </c>
    </row>
    <row r="62" spans="1:9" x14ac:dyDescent="0.2">
      <c r="A62" s="259" t="s">
        <v>269</v>
      </c>
      <c r="B62" s="102"/>
      <c r="C62" s="63"/>
      <c r="D62" s="90">
        <f t="shared" si="1"/>
        <v>5513.3254831430377</v>
      </c>
      <c r="E62" s="90">
        <f>'Ajuste de Volumen'!I44</f>
        <v>156119.99191792571</v>
      </c>
      <c r="F62" s="108">
        <f t="shared" si="2"/>
        <v>5368.8155690001613</v>
      </c>
      <c r="G62" s="108">
        <f>'Balance de Energía'!I44</f>
        <v>5664.4955701210483</v>
      </c>
      <c r="H62" s="103">
        <f t="shared" si="0"/>
        <v>0.12729302216210547</v>
      </c>
      <c r="I62" s="284">
        <f>'dias trabajados'!I44</f>
        <v>14</v>
      </c>
    </row>
    <row r="63" spans="1:9" x14ac:dyDescent="0.2">
      <c r="A63" s="259" t="s">
        <v>270</v>
      </c>
      <c r="B63" s="102"/>
      <c r="C63" s="63"/>
      <c r="D63" s="90">
        <f t="shared" si="1"/>
        <v>615.3296037100971</v>
      </c>
      <c r="E63" s="90">
        <f>'Ajuste de Volumen'!J44</f>
        <v>17424.193991774977</v>
      </c>
      <c r="F63" s="108">
        <f t="shared" si="2"/>
        <v>599.39205109964962</v>
      </c>
      <c r="G63" s="108">
        <f>'Balance de Energía'!J44</f>
        <v>632.40272916509127</v>
      </c>
      <c r="H63" s="103">
        <f t="shared" si="0"/>
        <v>1.4211407462936313E-2</v>
      </c>
      <c r="I63" s="284">
        <f>'dias trabajados'!J44</f>
        <v>14</v>
      </c>
    </row>
    <row r="64" spans="1:9" x14ac:dyDescent="0.2">
      <c r="A64" s="259" t="s">
        <v>254</v>
      </c>
      <c r="B64" s="102"/>
      <c r="C64" s="63"/>
      <c r="D64" s="90">
        <f t="shared" si="1"/>
        <v>9431.1983043145792</v>
      </c>
      <c r="E64" s="90">
        <f>'Ajuste de Volumen'!K44</f>
        <v>267061.79556200653</v>
      </c>
      <c r="F64" s="108">
        <f t="shared" si="2"/>
        <v>9188.7688405604586</v>
      </c>
      <c r="G64" s="108">
        <f>'Balance de Energía'!K44</f>
        <v>9694.8274201779477</v>
      </c>
      <c r="H64" s="103">
        <f t="shared" si="0"/>
        <v>0.21786297939114241</v>
      </c>
      <c r="I64" s="284">
        <f>'dias trabajados'!K44</f>
        <v>14</v>
      </c>
    </row>
    <row r="65" spans="1:9" x14ac:dyDescent="0.2">
      <c r="A65" s="259" t="s">
        <v>255</v>
      </c>
      <c r="B65" s="102"/>
      <c r="C65" s="63"/>
      <c r="D65" s="90">
        <f t="shared" si="1"/>
        <v>662.11524515476583</v>
      </c>
      <c r="E65" s="90">
        <f>'Ajuste de Volumen'!L44</f>
        <v>18749.015823271977</v>
      </c>
      <c r="F65" s="108">
        <f t="shared" si="2"/>
        <v>644.94438274537936</v>
      </c>
      <c r="G65" s="108">
        <f>'Balance de Energía'!L44</f>
        <v>680.46379170294529</v>
      </c>
      <c r="H65" s="103">
        <f t="shared" si="0"/>
        <v>1.5291439713475199E-2</v>
      </c>
      <c r="I65" s="284">
        <f>'dias trabajados'!L44</f>
        <v>14</v>
      </c>
    </row>
    <row r="66" spans="1:9" x14ac:dyDescent="0.2">
      <c r="A66" s="259" t="s">
        <v>256</v>
      </c>
      <c r="B66" s="102"/>
      <c r="C66" s="63"/>
      <c r="D66" s="90">
        <f t="shared" si="1"/>
        <v>126.12550468425303</v>
      </c>
      <c r="E66" s="90">
        <f>'Ajuste de Volumen'!M44</f>
        <v>3571.4765674825712</v>
      </c>
      <c r="F66" s="108">
        <f t="shared" si="2"/>
        <v>122.87952866254213</v>
      </c>
      <c r="G66" s="108">
        <f>'Balance de Energía'!M44</f>
        <v>129.64694667229151</v>
      </c>
      <c r="H66" s="103">
        <f t="shared" si="0"/>
        <v>2.913437119283093E-3</v>
      </c>
      <c r="I66" s="284">
        <f>'dias trabajados'!M44</f>
        <v>10</v>
      </c>
    </row>
    <row r="67" spans="1:9" x14ac:dyDescent="0.2">
      <c r="A67" s="259" t="s">
        <v>271</v>
      </c>
      <c r="B67" s="102"/>
      <c r="C67" s="63"/>
      <c r="D67" s="90">
        <f t="shared" si="1"/>
        <v>4797.2191964665299</v>
      </c>
      <c r="E67" s="90">
        <f>'Ajuste de Volumen'!N44</f>
        <v>135842.12005454025</v>
      </c>
      <c r="F67" s="108">
        <f t="shared" si="2"/>
        <v>4671.6053251565663</v>
      </c>
      <c r="G67" s="108">
        <f>'Balance de Energía'!N44</f>
        <v>4928.8874481921084</v>
      </c>
      <c r="H67" s="103">
        <f t="shared" si="0"/>
        <v>0.11076237440924223</v>
      </c>
      <c r="I67" s="284">
        <f>'dias trabajados'!N44</f>
        <v>14</v>
      </c>
    </row>
    <row r="68" spans="1:9" x14ac:dyDescent="0.2">
      <c r="A68" s="259" t="s">
        <v>258</v>
      </c>
      <c r="B68" s="102"/>
      <c r="C68" s="63"/>
      <c r="D68" s="90">
        <f t="shared" si="1"/>
        <v>4357.4884035697842</v>
      </c>
      <c r="E68" s="90">
        <f>'Ajuste de Volumen'!O44</f>
        <v>123390.33065030459</v>
      </c>
      <c r="F68" s="108">
        <f t="shared" si="2"/>
        <v>4243.8133918654821</v>
      </c>
      <c r="G68" s="108">
        <f>'Balance de Energía'!O44</f>
        <v>4477.5354730837253</v>
      </c>
      <c r="H68" s="103">
        <f t="shared" si="0"/>
        <v>0.10061955476022734</v>
      </c>
      <c r="I68" s="284">
        <f>'dias trabajados'!O44</f>
        <v>14</v>
      </c>
    </row>
    <row r="69" spans="1:9" x14ac:dyDescent="0.2">
      <c r="A69" s="259" t="s">
        <v>272</v>
      </c>
      <c r="B69" s="102"/>
      <c r="C69" s="63"/>
      <c r="D69" s="90">
        <f t="shared" ref="D69:D89" si="3">E69/(1000*0.3048^3)</f>
        <v>1139.902182948603</v>
      </c>
      <c r="E69" s="90">
        <f>'Ajuste de Volumen'!P44</f>
        <v>32278.435244441513</v>
      </c>
      <c r="F69" s="108">
        <f t="shared" ref="F69:F85" si="4">G69/4.1868/0.252</f>
        <v>1110.538182107673</v>
      </c>
      <c r="G69" s="108">
        <f>'Balance de Energía'!P44</f>
        <v>1171.6995177337981</v>
      </c>
      <c r="H69" s="103">
        <f t="shared" si="0"/>
        <v>2.6330530376781527E-2</v>
      </c>
      <c r="I69" s="284">
        <f>'dias trabajados'!P44</f>
        <v>14</v>
      </c>
    </row>
    <row r="70" spans="1:9" x14ac:dyDescent="0.2">
      <c r="A70" s="259" t="s">
        <v>273</v>
      </c>
      <c r="B70" s="102"/>
      <c r="C70" s="63"/>
      <c r="D70" s="90">
        <f t="shared" si="3"/>
        <v>148.06726061592016</v>
      </c>
      <c r="E70" s="90">
        <f>'Ajuste de Volumen'!Q44</f>
        <v>4192.797904158695</v>
      </c>
      <c r="F70" s="108">
        <f t="shared" si="4"/>
        <v>144.31790119885417</v>
      </c>
      <c r="G70" s="108">
        <f>'Balance de Energía'!Q44</f>
        <v>152.26600756231937</v>
      </c>
      <c r="H70" s="103">
        <f t="shared" si="0"/>
        <v>3.4217345631627791E-3</v>
      </c>
      <c r="I70" s="284">
        <f>'dias trabajados'!Q44</f>
        <v>14</v>
      </c>
    </row>
    <row r="71" spans="1:9" x14ac:dyDescent="0.2">
      <c r="A71" s="259" t="s">
        <v>274</v>
      </c>
      <c r="B71" s="102"/>
      <c r="C71" s="63"/>
      <c r="D71" s="90">
        <f t="shared" si="3"/>
        <v>512.6677795499935</v>
      </c>
      <c r="E71" s="90">
        <f>'Ajuste de Volumen'!R44</f>
        <v>14517.134866178443</v>
      </c>
      <c r="F71" s="108">
        <f t="shared" si="4"/>
        <v>499.1931248268956</v>
      </c>
      <c r="G71" s="108">
        <f>'Balance de Energía'!R44</f>
        <v>526.68548730636212</v>
      </c>
      <c r="H71" s="103">
        <f t="shared" si="0"/>
        <v>1.1835720688314596E-2</v>
      </c>
      <c r="I71" s="284">
        <f>'dias trabajados'!R44</f>
        <v>12</v>
      </c>
    </row>
    <row r="72" spans="1:9" x14ac:dyDescent="0.2">
      <c r="A72" s="259" t="s">
        <v>275</v>
      </c>
      <c r="B72" s="102"/>
      <c r="C72" s="63"/>
      <c r="D72" s="90">
        <f t="shared" si="3"/>
        <v>2891.2967380023342</v>
      </c>
      <c r="E72" s="90">
        <f>'Ajuste de Volumen'!S44</f>
        <v>81872.406181962127</v>
      </c>
      <c r="F72" s="108">
        <f t="shared" si="4"/>
        <v>2815.3361987894673</v>
      </c>
      <c r="G72" s="108">
        <f>'Balance de Energía'!S44</f>
        <v>2970.3868984671185</v>
      </c>
      <c r="H72" s="103">
        <f t="shared" si="0"/>
        <v>6.6750784887368644E-2</v>
      </c>
      <c r="I72" s="284">
        <f>'dias trabajados'!S44</f>
        <v>14</v>
      </c>
    </row>
    <row r="73" spans="1:9" x14ac:dyDescent="0.2">
      <c r="A73" s="259" t="s">
        <v>276</v>
      </c>
      <c r="B73" s="102"/>
      <c r="C73" s="63"/>
      <c r="D73" s="90">
        <f t="shared" si="3"/>
        <v>2126.7574301118334</v>
      </c>
      <c r="E73" s="90">
        <f>'Ajuste de Volumen'!T44</f>
        <v>60223.063886872951</v>
      </c>
      <c r="F73" s="108">
        <f t="shared" si="4"/>
        <v>2071.3177264125748</v>
      </c>
      <c r="G73" s="108">
        <f>'Balance de Energía'!T44</f>
        <v>2185.3926503499301</v>
      </c>
      <c r="H73" s="103">
        <f t="shared" si="0"/>
        <v>4.911032794186674E-2</v>
      </c>
      <c r="I73" s="284">
        <f>'dias trabajados'!T44</f>
        <v>14</v>
      </c>
    </row>
    <row r="74" spans="1:9" hidden="1" x14ac:dyDescent="0.2">
      <c r="A74" s="259" t="s">
        <v>219</v>
      </c>
      <c r="B74" s="102"/>
      <c r="C74" s="63"/>
      <c r="D74" s="90">
        <f t="shared" si="3"/>
        <v>0</v>
      </c>
      <c r="E74" s="90">
        <f>'Ajuste de Volumen'!U44</f>
        <v>0</v>
      </c>
      <c r="F74" s="108">
        <f t="shared" si="4"/>
        <v>0</v>
      </c>
      <c r="G74" s="108">
        <f>'Balance de Energía'!U44</f>
        <v>0</v>
      </c>
      <c r="H74" s="103">
        <f t="shared" si="0"/>
        <v>0</v>
      </c>
      <c r="I74" s="284">
        <f>'dias trabajados'!U44</f>
        <v>0</v>
      </c>
    </row>
    <row r="75" spans="1:9" hidden="1" x14ac:dyDescent="0.2">
      <c r="A75" s="259" t="s">
        <v>220</v>
      </c>
      <c r="B75" s="102"/>
      <c r="C75" s="63"/>
      <c r="D75" s="90">
        <f t="shared" si="3"/>
        <v>0</v>
      </c>
      <c r="E75" s="90">
        <f>'Ajuste de Volumen'!V44</f>
        <v>0</v>
      </c>
      <c r="F75" s="108">
        <f t="shared" si="4"/>
        <v>0</v>
      </c>
      <c r="G75" s="108">
        <f>'Balance de Energía'!V44</f>
        <v>0</v>
      </c>
      <c r="H75" s="103">
        <f t="shared" si="0"/>
        <v>0</v>
      </c>
      <c r="I75" s="284">
        <f>'dias trabajados'!V44</f>
        <v>0</v>
      </c>
    </row>
    <row r="76" spans="1:9" hidden="1" x14ac:dyDescent="0.2">
      <c r="A76" s="259" t="s">
        <v>221</v>
      </c>
      <c r="B76" s="102"/>
      <c r="C76" s="63"/>
      <c r="D76" s="90">
        <f>E76/(1000*0.3048^3)</f>
        <v>0</v>
      </c>
      <c r="E76" s="90">
        <f>'Ajuste de Volumen'!W44</f>
        <v>0</v>
      </c>
      <c r="F76" s="108">
        <f>G76/4.1868/0.252</f>
        <v>0</v>
      </c>
      <c r="G76" s="108">
        <f>'Balance de Energía'!W44</f>
        <v>0</v>
      </c>
      <c r="H76" s="103">
        <f t="shared" si="0"/>
        <v>0</v>
      </c>
      <c r="I76" s="284">
        <f>'dias trabajados'!W44</f>
        <v>0</v>
      </c>
    </row>
    <row r="77" spans="1:9" hidden="1" x14ac:dyDescent="0.2">
      <c r="A77" s="259" t="s">
        <v>222</v>
      </c>
      <c r="B77" s="102"/>
      <c r="C77" s="63"/>
      <c r="D77" s="90">
        <f t="shared" si="3"/>
        <v>0</v>
      </c>
      <c r="E77" s="90">
        <f>'Ajuste de Volumen'!X44</f>
        <v>0</v>
      </c>
      <c r="F77" s="108">
        <f t="shared" si="4"/>
        <v>0</v>
      </c>
      <c r="G77" s="108">
        <f>'Balance de Energía'!X44</f>
        <v>0</v>
      </c>
      <c r="H77" s="103">
        <f t="shared" si="0"/>
        <v>0</v>
      </c>
      <c r="I77" s="284">
        <f>'dias trabajados'!X44</f>
        <v>0</v>
      </c>
    </row>
    <row r="78" spans="1:9" hidden="1" x14ac:dyDescent="0.2">
      <c r="A78" s="259" t="s">
        <v>223</v>
      </c>
      <c r="B78" s="102"/>
      <c r="C78" s="63"/>
      <c r="D78" s="90">
        <f t="shared" si="3"/>
        <v>0</v>
      </c>
      <c r="E78" s="90">
        <f>'Ajuste de Volumen'!Y44</f>
        <v>0</v>
      </c>
      <c r="F78" s="108">
        <f t="shared" si="4"/>
        <v>0</v>
      </c>
      <c r="G78" s="108">
        <f>'Balance de Energía'!Y44</f>
        <v>0</v>
      </c>
      <c r="H78" s="103">
        <f t="shared" si="0"/>
        <v>0</v>
      </c>
      <c r="I78" s="284">
        <f>'dias trabajados'!Y44</f>
        <v>0</v>
      </c>
    </row>
    <row r="79" spans="1:9" hidden="1" x14ac:dyDescent="0.2">
      <c r="A79" s="259" t="s">
        <v>224</v>
      </c>
      <c r="B79" s="102"/>
      <c r="C79" s="63"/>
      <c r="D79" s="90">
        <f t="shared" si="3"/>
        <v>0</v>
      </c>
      <c r="E79" s="90">
        <f>'Ajuste de Volumen'!Z44</f>
        <v>0</v>
      </c>
      <c r="F79" s="108">
        <f t="shared" si="4"/>
        <v>0</v>
      </c>
      <c r="G79" s="108">
        <f>'Balance de Energía'!Z44</f>
        <v>0</v>
      </c>
      <c r="H79" s="103">
        <f t="shared" si="0"/>
        <v>0</v>
      </c>
      <c r="I79" s="284">
        <f>'dias trabajados'!Z44</f>
        <v>0</v>
      </c>
    </row>
    <row r="80" spans="1:9" hidden="1" x14ac:dyDescent="0.2">
      <c r="A80" s="259" t="s">
        <v>225</v>
      </c>
      <c r="B80" s="102"/>
      <c r="C80" s="63"/>
      <c r="D80" s="90">
        <f t="shared" si="3"/>
        <v>0</v>
      </c>
      <c r="E80" s="90">
        <f>'Ajuste de Volumen'!AA44</f>
        <v>0</v>
      </c>
      <c r="F80" s="108">
        <f t="shared" si="4"/>
        <v>0</v>
      </c>
      <c r="G80" s="108">
        <f>'Balance de Energía'!AA44</f>
        <v>0</v>
      </c>
      <c r="H80" s="103">
        <f t="shared" si="0"/>
        <v>0</v>
      </c>
      <c r="I80" s="284">
        <f>'dias trabajados'!AA44</f>
        <v>0</v>
      </c>
    </row>
    <row r="81" spans="1:9" hidden="1" x14ac:dyDescent="0.2">
      <c r="A81" s="259" t="s">
        <v>226</v>
      </c>
      <c r="B81" s="102"/>
      <c r="C81" s="63"/>
      <c r="D81" s="90">
        <f t="shared" si="3"/>
        <v>0</v>
      </c>
      <c r="E81" s="90">
        <f>'Ajuste de Volumen'!AB44</f>
        <v>0</v>
      </c>
      <c r="F81" s="108">
        <f t="shared" si="4"/>
        <v>0</v>
      </c>
      <c r="G81" s="108">
        <f>'Balance de Energía'!AB44</f>
        <v>0</v>
      </c>
      <c r="H81" s="103">
        <f t="shared" si="0"/>
        <v>0</v>
      </c>
      <c r="I81" s="284">
        <f>'dias trabajados'!AB44</f>
        <v>0</v>
      </c>
    </row>
    <row r="82" spans="1:9" hidden="1" x14ac:dyDescent="0.2">
      <c r="A82" s="259" t="s">
        <v>227</v>
      </c>
      <c r="B82" s="102"/>
      <c r="C82" s="63"/>
      <c r="D82" s="90">
        <f t="shared" si="3"/>
        <v>0</v>
      </c>
      <c r="E82" s="90">
        <f>'Ajuste de Volumen'!AC44</f>
        <v>0</v>
      </c>
      <c r="F82" s="108">
        <f t="shared" si="4"/>
        <v>0</v>
      </c>
      <c r="G82" s="108">
        <f>'Balance de Energía'!AC44</f>
        <v>0</v>
      </c>
      <c r="H82" s="103">
        <f t="shared" si="0"/>
        <v>0</v>
      </c>
      <c r="I82" s="284">
        <f>'dias trabajados'!AC44</f>
        <v>0</v>
      </c>
    </row>
    <row r="83" spans="1:9" hidden="1" x14ac:dyDescent="0.2">
      <c r="A83" s="259" t="s">
        <v>228</v>
      </c>
      <c r="B83" s="102"/>
      <c r="C83" s="63"/>
      <c r="D83" s="90">
        <f t="shared" si="3"/>
        <v>0</v>
      </c>
      <c r="E83" s="90">
        <f>'Ajuste de Volumen'!AD44</f>
        <v>0</v>
      </c>
      <c r="F83" s="108">
        <f t="shared" si="4"/>
        <v>0</v>
      </c>
      <c r="G83" s="108">
        <f>'Balance de Energía'!AD44</f>
        <v>0</v>
      </c>
      <c r="H83" s="103">
        <f t="shared" si="0"/>
        <v>0</v>
      </c>
      <c r="I83" s="284">
        <f>'dias trabajados'!AD44</f>
        <v>0</v>
      </c>
    </row>
    <row r="84" spans="1:9" hidden="1" x14ac:dyDescent="0.2">
      <c r="A84" s="259" t="s">
        <v>229</v>
      </c>
      <c r="B84" s="102"/>
      <c r="C84" s="63"/>
      <c r="D84" s="90">
        <f t="shared" si="3"/>
        <v>0</v>
      </c>
      <c r="E84" s="90">
        <f>'Ajuste de Volumen'!AE44</f>
        <v>0</v>
      </c>
      <c r="F84" s="108">
        <f t="shared" si="4"/>
        <v>0</v>
      </c>
      <c r="G84" s="108">
        <f>'Balance de Energía'!AE44</f>
        <v>0</v>
      </c>
      <c r="H84" s="103">
        <f t="shared" si="0"/>
        <v>0</v>
      </c>
      <c r="I84" s="284">
        <f>'dias trabajados'!AE44</f>
        <v>0</v>
      </c>
    </row>
    <row r="85" spans="1:9" hidden="1" x14ac:dyDescent="0.2">
      <c r="A85" s="259" t="s">
        <v>230</v>
      </c>
      <c r="B85" s="102"/>
      <c r="C85" s="63"/>
      <c r="D85" s="90">
        <f t="shared" si="3"/>
        <v>0</v>
      </c>
      <c r="E85" s="90">
        <f>'Ajuste de Volumen'!AF44</f>
        <v>0</v>
      </c>
      <c r="F85" s="108">
        <f t="shared" si="4"/>
        <v>0</v>
      </c>
      <c r="G85" s="108">
        <f>'Balance de Energía'!AF44</f>
        <v>0</v>
      </c>
      <c r="H85" s="103">
        <f t="shared" si="0"/>
        <v>0</v>
      </c>
      <c r="I85" s="284">
        <f>'dias trabajados'!AF44</f>
        <v>0</v>
      </c>
    </row>
    <row r="86" spans="1:9" hidden="1" x14ac:dyDescent="0.2">
      <c r="A86" s="259" t="s">
        <v>231</v>
      </c>
      <c r="B86" s="102"/>
      <c r="C86" s="63"/>
      <c r="D86" s="90">
        <f t="shared" si="3"/>
        <v>0</v>
      </c>
      <c r="E86" s="90">
        <f>'Ajuste de Volumen'!AG44</f>
        <v>0</v>
      </c>
      <c r="F86" s="108">
        <f>G86/4.1868/0.252</f>
        <v>0</v>
      </c>
      <c r="G86" s="108">
        <f>'Balance de Energía'!AG44</f>
        <v>0</v>
      </c>
      <c r="H86" s="103">
        <f>F86/$F$90</f>
        <v>0</v>
      </c>
      <c r="I86" s="284">
        <f>'dias trabajados'!AG44</f>
        <v>0</v>
      </c>
    </row>
    <row r="87" spans="1:9" hidden="1" x14ac:dyDescent="0.2">
      <c r="A87" s="259" t="s">
        <v>232</v>
      </c>
      <c r="B87" s="102"/>
      <c r="C87" s="63"/>
      <c r="D87" s="90">
        <f t="shared" si="3"/>
        <v>0</v>
      </c>
      <c r="E87" s="90">
        <f>'Ajuste de Volumen'!AH44</f>
        <v>0</v>
      </c>
      <c r="F87" s="108">
        <f t="shared" ref="F87:F89" si="5">G87/4.1868/0.252</f>
        <v>0</v>
      </c>
      <c r="G87" s="108">
        <f>'Balance de Energía'!AH44</f>
        <v>0</v>
      </c>
      <c r="H87" s="103">
        <f t="shared" ref="H87:H89" si="6">F87/$F$90</f>
        <v>0</v>
      </c>
      <c r="I87" s="284">
        <f>'dias trabajados'!AH44</f>
        <v>0</v>
      </c>
    </row>
    <row r="88" spans="1:9" hidden="1" x14ac:dyDescent="0.2">
      <c r="A88" s="259" t="s">
        <v>233</v>
      </c>
      <c r="B88" s="102"/>
      <c r="C88" s="63"/>
      <c r="D88" s="90">
        <f t="shared" si="3"/>
        <v>0</v>
      </c>
      <c r="E88" s="90">
        <f>'Ajuste de Volumen'!AI44</f>
        <v>0</v>
      </c>
      <c r="F88" s="108">
        <f t="shared" si="5"/>
        <v>0</v>
      </c>
      <c r="G88" s="108">
        <f>'Balance de Energía'!AI44</f>
        <v>0</v>
      </c>
      <c r="H88" s="103">
        <f t="shared" si="6"/>
        <v>0</v>
      </c>
      <c r="I88" s="284">
        <f>'dias trabajados'!AI44</f>
        <v>0</v>
      </c>
    </row>
    <row r="89" spans="1:9" ht="13.5" hidden="1" thickBot="1" x14ac:dyDescent="0.25">
      <c r="A89" s="259" t="s">
        <v>234</v>
      </c>
      <c r="B89" s="289"/>
      <c r="C89" s="282"/>
      <c r="D89" s="90">
        <f t="shared" si="3"/>
        <v>0</v>
      </c>
      <c r="E89" s="90">
        <f>'Ajuste de Volumen'!AJ44</f>
        <v>0</v>
      </c>
      <c r="F89" s="108">
        <f t="shared" si="5"/>
        <v>0</v>
      </c>
      <c r="G89" s="108">
        <f>'Balance de Energía'!AJ44</f>
        <v>0</v>
      </c>
      <c r="H89" s="103">
        <f t="shared" si="6"/>
        <v>0</v>
      </c>
      <c r="I89" s="284">
        <f>'dias trabajados'!AJ44</f>
        <v>0</v>
      </c>
    </row>
    <row r="90" spans="1:9" ht="13.5" thickBot="1" x14ac:dyDescent="0.25">
      <c r="A90" s="679"/>
      <c r="B90" s="263"/>
      <c r="C90" s="684" t="s">
        <v>3</v>
      </c>
      <c r="D90" s="685">
        <f>SUM(D55:D89)</f>
        <v>43304.574752558648</v>
      </c>
      <c r="E90" s="685">
        <f>SUM(E55:E89)</f>
        <v>1226249</v>
      </c>
      <c r="F90" s="686">
        <f>SUM(F55:F89)</f>
        <v>42176.825389242993</v>
      </c>
      <c r="G90" s="686">
        <f>SUM(G55:G89)</f>
        <v>44499.655000000013</v>
      </c>
      <c r="H90" s="687">
        <f>SUM(H55:H89)</f>
        <v>0.99999999999999989</v>
      </c>
      <c r="I90" s="683"/>
    </row>
    <row r="91" spans="1:9" ht="13.5" thickTop="1" x14ac:dyDescent="0.2">
      <c r="C91" s="73"/>
      <c r="D91" s="75"/>
      <c r="E91" s="75"/>
      <c r="F91" s="76"/>
      <c r="G91" s="77"/>
      <c r="H91" s="78"/>
    </row>
    <row r="92" spans="1:9" ht="13.5" thickBot="1" x14ac:dyDescent="0.25">
      <c r="A92" s="15" t="s">
        <v>27</v>
      </c>
      <c r="G92" s="77"/>
      <c r="H92" s="78"/>
    </row>
    <row r="93" spans="1:9" ht="13.5" thickTop="1" x14ac:dyDescent="0.2">
      <c r="A93" s="812" t="s">
        <v>5</v>
      </c>
      <c r="B93" s="813"/>
      <c r="C93" s="814" t="s">
        <v>28</v>
      </c>
      <c r="D93" s="815"/>
    </row>
    <row r="94" spans="1:9" x14ac:dyDescent="0.2">
      <c r="A94" s="273" t="s">
        <v>6</v>
      </c>
      <c r="B94" s="79" t="s">
        <v>7</v>
      </c>
      <c r="C94" s="80" t="s">
        <v>63</v>
      </c>
      <c r="D94" s="274" t="s">
        <v>15</v>
      </c>
    </row>
    <row r="95" spans="1:9" x14ac:dyDescent="0.2">
      <c r="A95" s="275">
        <f>F11</f>
        <v>40513</v>
      </c>
      <c r="B95" s="82">
        <f>G11</f>
        <v>40526</v>
      </c>
      <c r="C95" s="104">
        <f>'Balance de Energía'!$AO$44</f>
        <v>44499.654999999999</v>
      </c>
      <c r="D95" s="291">
        <f>C95*0.9478</f>
        <v>42176.773008999997</v>
      </c>
    </row>
    <row r="96" spans="1:9" ht="13.5" thickBot="1" x14ac:dyDescent="0.25">
      <c r="A96" s="277"/>
      <c r="B96" s="278"/>
      <c r="C96" s="292"/>
      <c r="D96" s="293"/>
    </row>
    <row r="97" spans="1:6" ht="13.5" thickTop="1" x14ac:dyDescent="0.2">
      <c r="A97" s="270"/>
      <c r="B97" s="270"/>
      <c r="C97" s="290">
        <f>SUM(C95:C96)</f>
        <v>44499.654999999999</v>
      </c>
      <c r="D97" s="290">
        <f>SUM(D95:D96)</f>
        <v>42176.773008999997</v>
      </c>
    </row>
    <row r="98" spans="1:6" x14ac:dyDescent="0.2">
      <c r="A98" s="84"/>
      <c r="B98" s="84"/>
      <c r="C98" s="77"/>
      <c r="D98" s="85"/>
    </row>
    <row r="99" spans="1:6" ht="15.75" x14ac:dyDescent="0.25">
      <c r="A99" s="49" t="s">
        <v>29</v>
      </c>
    </row>
    <row r="100" spans="1:6" ht="13.5" thickBot="1" x14ac:dyDescent="0.25"/>
    <row r="101" spans="1:6" ht="13.5" thickTop="1" x14ac:dyDescent="0.2">
      <c r="A101" s="86" t="s">
        <v>30</v>
      </c>
      <c r="D101" s="451">
        <f>(F53-F90)/F53</f>
        <v>-1.2419215424019607E-6</v>
      </c>
      <c r="E101" s="10" t="s">
        <v>126</v>
      </c>
      <c r="F101" s="10" t="str">
        <f>IF(D101&gt;0,"Igasamex",IF(B101=0," ","Usuarios"))</f>
        <v xml:space="preserve"> </v>
      </c>
    </row>
    <row r="102" spans="1:6" x14ac:dyDescent="0.2">
      <c r="A102" s="86" t="s">
        <v>31</v>
      </c>
      <c r="D102" s="670">
        <f>(F53-D97)/F53</f>
        <v>1.7251100772054861E-16</v>
      </c>
      <c r="E102" s="10" t="s">
        <v>126</v>
      </c>
      <c r="F102" s="10" t="str">
        <f>IF(D102&gt;0,"Igasamex",IF(B102=0," ","Pemex"))</f>
        <v>Igasamex</v>
      </c>
    </row>
    <row r="103" spans="1:6" x14ac:dyDescent="0.2">
      <c r="A103" s="86" t="s">
        <v>37</v>
      </c>
      <c r="D103" s="453">
        <f>(F90-D97)/F90</f>
        <v>1.2419200002072694E-6</v>
      </c>
      <c r="E103" s="10" t="s">
        <v>126</v>
      </c>
      <c r="F103" s="10" t="str">
        <f>IF(D103&gt;0,"Usuarios",IF(B103=0," ","Pemex"))</f>
        <v>Usuarios</v>
      </c>
    </row>
    <row r="104" spans="1:6" ht="13.5" thickBot="1" x14ac:dyDescent="0.25">
      <c r="A104" s="86" t="s">
        <v>32</v>
      </c>
      <c r="D104" s="281">
        <f>'Balance de Energía'!AS42</f>
        <v>979.14999294247696</v>
      </c>
      <c r="E104" s="11" t="s">
        <v>33</v>
      </c>
    </row>
    <row r="105" spans="1:6" ht="13.5" thickTop="1" x14ac:dyDescent="0.2"/>
  </sheetData>
  <mergeCells count="13">
    <mergeCell ref="A1:J1"/>
    <mergeCell ref="A2:J2"/>
    <mergeCell ref="A3:J3"/>
    <mergeCell ref="A4:J4"/>
    <mergeCell ref="A93:B93"/>
    <mergeCell ref="C93:D93"/>
    <mergeCell ref="A6:J6"/>
    <mergeCell ref="F9:G9"/>
    <mergeCell ref="I9:J9"/>
    <mergeCell ref="A51:C51"/>
    <mergeCell ref="D51:E51"/>
    <mergeCell ref="F51:G51"/>
    <mergeCell ref="I51:I52"/>
  </mergeCells>
  <phoneticPr fontId="2" type="noConversion"/>
  <printOptions horizontalCentered="1" verticalCentered="1"/>
  <pageMargins left="0.39370078740157483" right="0.39370078740157483" top="0.19685039370078741" bottom="0.19685039370078741" header="0" footer="0"/>
  <pageSetup scale="43" orientation="landscape" r:id="rId1"/>
  <headerFooter alignWithMargins="0">
    <oddFooter>&amp;LReporte de Balance de Medición y Facturación Igasamex&amp;RFSCI 7.5.9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35"/>
  <sheetViews>
    <sheetView workbookViewId="0">
      <pane xSplit="5" ySplit="2" topLeftCell="AQ3" activePane="bottomRight" state="frozen"/>
      <selection activeCell="O17" sqref="O17"/>
      <selection pane="topRight" activeCell="O17" sqref="O17"/>
      <selection pane="bottomLeft" activeCell="O17" sqref="O17"/>
      <selection pane="bottomRight" activeCell="BB4" sqref="BB4"/>
    </sheetView>
  </sheetViews>
  <sheetFormatPr baseColWidth="10" defaultRowHeight="12.75" x14ac:dyDescent="0.2"/>
  <cols>
    <col min="1" max="1" width="9.28515625" bestFit="1" customWidth="1"/>
    <col min="2" max="2" width="9" customWidth="1"/>
    <col min="3" max="3" width="16.42578125" bestFit="1" customWidth="1"/>
    <col min="4" max="4" width="19.140625" customWidth="1"/>
    <col min="5" max="5" width="18.5703125" bestFit="1" customWidth="1"/>
    <col min="8" max="11" width="3" bestFit="1" customWidth="1"/>
    <col min="12" max="12" width="2.85546875" bestFit="1" customWidth="1"/>
    <col min="13" max="15" width="3" bestFit="1" customWidth="1"/>
    <col min="16" max="16" width="4" customWidth="1"/>
    <col min="17" max="25" width="3" bestFit="1" customWidth="1"/>
    <col min="26" max="29" width="9.7109375" customWidth="1"/>
    <col min="30" max="38" width="3" bestFit="1" customWidth="1"/>
    <col min="39" max="39" width="12.28515625" bestFit="1" customWidth="1"/>
    <col min="40" max="41" width="10.7109375" customWidth="1"/>
    <col min="42" max="42" width="8.7109375" customWidth="1"/>
    <col min="43" max="46" width="3" bestFit="1" customWidth="1"/>
    <col min="47" max="47" width="8.85546875" bestFit="1" customWidth="1"/>
    <col min="48" max="48" width="5.85546875" customWidth="1"/>
    <col min="49" max="49" width="10" customWidth="1"/>
    <col min="51" max="51" width="16.85546875" bestFit="1" customWidth="1"/>
    <col min="55" max="66" width="4.5703125" customWidth="1"/>
  </cols>
  <sheetData>
    <row r="1" spans="1:77" ht="13.5" thickBot="1" x14ac:dyDescent="0.25">
      <c r="A1" s="852" t="s">
        <v>75</v>
      </c>
      <c r="B1" s="852" t="s">
        <v>76</v>
      </c>
      <c r="C1" s="852" t="s">
        <v>77</v>
      </c>
      <c r="D1" s="852" t="s">
        <v>5</v>
      </c>
      <c r="E1" s="852" t="s">
        <v>78</v>
      </c>
      <c r="F1" s="852" t="s">
        <v>79</v>
      </c>
      <c r="G1" s="861" t="s">
        <v>217</v>
      </c>
      <c r="H1" s="846" t="s">
        <v>80</v>
      </c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8"/>
      <c r="U1" s="849" t="s">
        <v>81</v>
      </c>
      <c r="V1" s="850"/>
      <c r="W1" s="850"/>
      <c r="X1" s="850"/>
      <c r="Y1" s="850"/>
      <c r="Z1" s="850"/>
      <c r="AA1" s="850"/>
      <c r="AB1" s="850"/>
      <c r="AC1" s="850"/>
      <c r="AD1" s="850"/>
      <c r="AE1" s="850"/>
      <c r="AF1" s="851"/>
      <c r="AG1" s="660"/>
      <c r="AH1" s="837" t="s">
        <v>82</v>
      </c>
      <c r="AI1" s="838"/>
      <c r="AJ1" s="838"/>
      <c r="AK1" s="838"/>
      <c r="AL1" s="838"/>
      <c r="AM1" s="838"/>
      <c r="AN1" s="838"/>
      <c r="AO1" s="838"/>
      <c r="AP1" s="838"/>
      <c r="AQ1" s="838"/>
      <c r="AR1" s="838"/>
      <c r="AS1" s="838"/>
      <c r="AT1" s="839"/>
      <c r="AU1" s="432" t="s">
        <v>127</v>
      </c>
      <c r="AV1" s="836" t="s">
        <v>83</v>
      </c>
      <c r="AW1" s="836" t="s">
        <v>84</v>
      </c>
      <c r="AX1" s="836" t="s">
        <v>85</v>
      </c>
      <c r="AY1" s="836" t="s">
        <v>86</v>
      </c>
      <c r="AZ1" s="836" t="s">
        <v>87</v>
      </c>
      <c r="BA1" s="836" t="s">
        <v>88</v>
      </c>
      <c r="BB1" s="844" t="s">
        <v>89</v>
      </c>
      <c r="BC1" s="842" t="s">
        <v>90</v>
      </c>
      <c r="BD1" s="842"/>
      <c r="BE1" s="842"/>
      <c r="BF1" s="842"/>
      <c r="BG1" s="842"/>
      <c r="BH1" s="842"/>
      <c r="BI1" s="842"/>
      <c r="BJ1" s="842"/>
      <c r="BK1" s="842"/>
      <c r="BL1" s="842"/>
      <c r="BM1" s="842"/>
      <c r="BN1" s="843"/>
      <c r="BO1" s="840" t="s">
        <v>131</v>
      </c>
      <c r="BP1" s="841"/>
    </row>
    <row r="2" spans="1:77" ht="59.25" customHeight="1" thickBot="1" x14ac:dyDescent="0.25">
      <c r="A2" s="853"/>
      <c r="B2" s="853"/>
      <c r="C2" s="853"/>
      <c r="D2" s="853"/>
      <c r="E2" s="853"/>
      <c r="F2" s="853"/>
      <c r="G2" s="862"/>
      <c r="H2" s="694" t="s">
        <v>91</v>
      </c>
      <c r="I2" s="693" t="s">
        <v>92</v>
      </c>
      <c r="J2" s="693" t="s">
        <v>93</v>
      </c>
      <c r="K2" s="693" t="s">
        <v>94</v>
      </c>
      <c r="L2" s="697" t="s">
        <v>95</v>
      </c>
      <c r="M2" s="698" t="s">
        <v>96</v>
      </c>
      <c r="N2" s="698" t="s">
        <v>97</v>
      </c>
      <c r="O2" s="698" t="s">
        <v>98</v>
      </c>
      <c r="P2" s="698" t="s">
        <v>88</v>
      </c>
      <c r="Q2" s="693" t="s">
        <v>99</v>
      </c>
      <c r="R2" s="693" t="s">
        <v>100</v>
      </c>
      <c r="S2" s="695" t="s">
        <v>101</v>
      </c>
      <c r="T2" s="696" t="s">
        <v>83</v>
      </c>
      <c r="U2" s="700" t="s">
        <v>91</v>
      </c>
      <c r="V2" s="699" t="s">
        <v>92</v>
      </c>
      <c r="W2" s="699" t="s">
        <v>93</v>
      </c>
      <c r="X2" s="699" t="s">
        <v>94</v>
      </c>
      <c r="Y2" s="699" t="s">
        <v>95</v>
      </c>
      <c r="Z2" s="703" t="s">
        <v>96</v>
      </c>
      <c r="AA2" s="703" t="s">
        <v>97</v>
      </c>
      <c r="AB2" s="703" t="s">
        <v>98</v>
      </c>
      <c r="AC2" s="703" t="s">
        <v>88</v>
      </c>
      <c r="AD2" s="699" t="s">
        <v>99</v>
      </c>
      <c r="AE2" s="699" t="s">
        <v>100</v>
      </c>
      <c r="AF2" s="701" t="s">
        <v>101</v>
      </c>
      <c r="AG2" s="702" t="s">
        <v>83</v>
      </c>
      <c r="AH2" s="705" t="s">
        <v>91</v>
      </c>
      <c r="AI2" s="704" t="s">
        <v>92</v>
      </c>
      <c r="AJ2" s="704" t="s">
        <v>93</v>
      </c>
      <c r="AK2" s="704" t="s">
        <v>94</v>
      </c>
      <c r="AL2" s="704" t="s">
        <v>95</v>
      </c>
      <c r="AM2" s="708" t="s">
        <v>96</v>
      </c>
      <c r="AN2" s="708" t="s">
        <v>97</v>
      </c>
      <c r="AO2" s="708" t="s">
        <v>98</v>
      </c>
      <c r="AP2" s="708" t="s">
        <v>88</v>
      </c>
      <c r="AQ2" s="704" t="s">
        <v>99</v>
      </c>
      <c r="AR2" s="704" t="s">
        <v>100</v>
      </c>
      <c r="AS2" s="706" t="s">
        <v>101</v>
      </c>
      <c r="AT2" s="707" t="s">
        <v>83</v>
      </c>
      <c r="AU2" s="433" t="s">
        <v>16</v>
      </c>
      <c r="AV2" s="836"/>
      <c r="AW2" s="836"/>
      <c r="AX2" s="836"/>
      <c r="AY2" s="836"/>
      <c r="AZ2" s="836"/>
      <c r="BA2" s="836"/>
      <c r="BB2" s="845"/>
      <c r="BC2" s="297" t="s">
        <v>91</v>
      </c>
      <c r="BD2" s="298" t="s">
        <v>92</v>
      </c>
      <c r="BE2" s="298" t="s">
        <v>93</v>
      </c>
      <c r="BF2" s="298" t="s">
        <v>94</v>
      </c>
      <c r="BG2" s="298" t="s">
        <v>95</v>
      </c>
      <c r="BH2" s="298" t="s">
        <v>96</v>
      </c>
      <c r="BI2" s="299" t="s">
        <v>97</v>
      </c>
      <c r="BJ2" s="299" t="s">
        <v>98</v>
      </c>
      <c r="BK2" s="299" t="s">
        <v>88</v>
      </c>
      <c r="BL2" s="300" t="s">
        <v>99</v>
      </c>
      <c r="BM2" s="298" t="s">
        <v>100</v>
      </c>
      <c r="BN2" s="301" t="s">
        <v>101</v>
      </c>
      <c r="BO2" s="454" t="s">
        <v>97</v>
      </c>
      <c r="BP2" s="455" t="s">
        <v>132</v>
      </c>
    </row>
    <row r="3" spans="1:77" x14ac:dyDescent="0.2">
      <c r="A3" s="674" t="s">
        <v>265</v>
      </c>
      <c r="B3" s="303" t="s">
        <v>102</v>
      </c>
      <c r="C3" s="302">
        <v>87</v>
      </c>
      <c r="D3" s="304" t="s">
        <v>286</v>
      </c>
      <c r="E3" s="668" t="s">
        <v>266</v>
      </c>
      <c r="F3" s="305">
        <f>(AO40/AU3)*1000</f>
        <v>975.55642555815575</v>
      </c>
      <c r="G3" s="662" t="s">
        <v>218</v>
      </c>
      <c r="H3" s="709">
        <v>0</v>
      </c>
      <c r="I3" s="710">
        <v>0</v>
      </c>
      <c r="J3" s="710">
        <v>0</v>
      </c>
      <c r="K3" s="710">
        <v>0</v>
      </c>
      <c r="L3" s="710">
        <v>0</v>
      </c>
      <c r="M3" s="710">
        <v>1</v>
      </c>
      <c r="N3" s="326">
        <v>1</v>
      </c>
      <c r="O3" s="738">
        <v>1</v>
      </c>
      <c r="P3" s="711"/>
      <c r="Q3" s="710">
        <v>0</v>
      </c>
      <c r="R3" s="710">
        <v>0</v>
      </c>
      <c r="S3" s="712">
        <v>0</v>
      </c>
      <c r="T3" s="713"/>
      <c r="U3" s="714"/>
      <c r="V3" s="715"/>
      <c r="W3" s="715"/>
      <c r="X3" s="715"/>
      <c r="Y3" s="715"/>
      <c r="Z3" s="327">
        <v>3.283541</v>
      </c>
      <c r="AA3" s="327">
        <v>5.3381999999999999E-2</v>
      </c>
      <c r="AB3" s="716">
        <v>4.2864659999999999</v>
      </c>
      <c r="AC3" s="717"/>
      <c r="AD3" s="715"/>
      <c r="AE3" s="715"/>
      <c r="AF3" s="718"/>
      <c r="AG3" s="719"/>
      <c r="AH3" s="720" t="str">
        <f t="shared" ref="AH3:AH12" si="0">IF(IF(H3=1,AM3,0)=0,"",IF(H3=1,AM3,0))</f>
        <v/>
      </c>
      <c r="AI3" s="721" t="str">
        <f t="shared" ref="AI3:AI12" si="1">IF(IF(I3=1,AM3,0)=0,"",IF(I3=1,AM3,0))</f>
        <v/>
      </c>
      <c r="AJ3" s="721" t="str">
        <f t="shared" ref="AJ3:AJ12" si="2">IF(IF(J3=1,AM3,0)=0,"",IF(J3=1,AM3,0))</f>
        <v/>
      </c>
      <c r="AK3" s="721" t="str">
        <f t="shared" ref="AK3:AK12" si="3">IF(IF(K3=1,AM3,0)=0,"",IF(K3=1,AM3,0))</f>
        <v/>
      </c>
      <c r="AL3" s="721"/>
      <c r="AM3" s="722">
        <f>AN3</f>
        <v>30.01</v>
      </c>
      <c r="AN3" s="723">
        <f>AO3</f>
        <v>30.01</v>
      </c>
      <c r="AO3">
        <v>30.01</v>
      </c>
      <c r="AP3" s="721"/>
      <c r="AQ3" s="721" t="str">
        <f t="shared" ref="AQ3:AQ12" si="4">IF(IF(Q3=1,AM3,0)=0,"",IF(Q3=1,AM3,0))</f>
        <v/>
      </c>
      <c r="AR3" s="721" t="str">
        <f t="shared" ref="AR3:AR12" si="5">IF(IF(R3=1,AM3,0)=0,"",IF(R3=1,AM3,0))</f>
        <v/>
      </c>
      <c r="AS3" s="725" t="str">
        <f t="shared" ref="AS3:AS12" si="6">IF(IF(S3=1,AM3,0)=0,"",IF(S3=1,AM3,0))</f>
        <v/>
      </c>
      <c r="AT3" s="721"/>
      <c r="AU3" s="726">
        <f>TOTAL!D55</f>
        <v>20.630078295974254</v>
      </c>
      <c r="AV3" s="727">
        <v>0</v>
      </c>
      <c r="AW3" s="746">
        <v>31</v>
      </c>
      <c r="AX3" s="674">
        <f t="shared" ref="AX3:AX26" si="7">AV3*AW3</f>
        <v>0</v>
      </c>
      <c r="AY3" s="729"/>
      <c r="AZ3" s="674">
        <f>AM3/AW3</f>
        <v>0.96806451612903233</v>
      </c>
      <c r="BA3" s="730"/>
      <c r="BB3">
        <v>5.5</v>
      </c>
      <c r="BC3" s="732"/>
      <c r="BD3" s="733"/>
      <c r="BE3" s="733"/>
      <c r="BF3" s="733"/>
      <c r="BG3" s="733"/>
      <c r="BH3" s="733"/>
      <c r="BI3" s="733"/>
      <c r="BJ3" s="733"/>
      <c r="BK3" s="733"/>
      <c r="BL3" s="733"/>
      <c r="BM3" s="733"/>
      <c r="BN3" s="734"/>
      <c r="BO3" s="747"/>
      <c r="BP3" s="748"/>
      <c r="BQ3" s="737"/>
      <c r="BR3" s="737"/>
      <c r="BS3" s="737"/>
      <c r="BT3" s="737"/>
      <c r="BU3" s="737"/>
      <c r="BV3" s="737"/>
      <c r="BW3" s="737"/>
      <c r="BX3" s="737"/>
      <c r="BY3" s="737"/>
    </row>
    <row r="4" spans="1:77" x14ac:dyDescent="0.2">
      <c r="A4" s="674" t="s">
        <v>265</v>
      </c>
      <c r="B4" s="303" t="s">
        <v>102</v>
      </c>
      <c r="C4" s="302">
        <v>89</v>
      </c>
      <c r="D4" s="304" t="str">
        <f>D3</f>
        <v>01/03/2013 al 31/03/2013</v>
      </c>
      <c r="E4" s="668" t="s">
        <v>267</v>
      </c>
      <c r="F4" s="305">
        <f t="shared" ref="F4:F37" si="8">(AO4/AU4)*1000</f>
        <v>977.47586947447633</v>
      </c>
      <c r="G4" s="662" t="s">
        <v>218</v>
      </c>
      <c r="H4" s="709">
        <v>0</v>
      </c>
      <c r="I4" s="710">
        <v>0</v>
      </c>
      <c r="J4" s="710">
        <v>0</v>
      </c>
      <c r="K4" s="710">
        <v>0</v>
      </c>
      <c r="L4" s="710">
        <v>0</v>
      </c>
      <c r="M4" s="710">
        <v>1</v>
      </c>
      <c r="N4" s="326">
        <v>1</v>
      </c>
      <c r="O4" s="738">
        <v>1</v>
      </c>
      <c r="P4" s="711"/>
      <c r="Q4" s="710">
        <v>0</v>
      </c>
      <c r="R4" s="710">
        <v>0</v>
      </c>
      <c r="S4" s="712">
        <v>0</v>
      </c>
      <c r="T4" s="713"/>
      <c r="U4" s="714"/>
      <c r="V4" s="715"/>
      <c r="W4" s="715"/>
      <c r="X4" s="715"/>
      <c r="Y4" s="715"/>
      <c r="Z4" s="327">
        <v>1.334775</v>
      </c>
      <c r="AA4" s="327">
        <v>5.3381999999999999E-2</v>
      </c>
      <c r="AB4" s="716">
        <v>4.2864659999999999</v>
      </c>
      <c r="AC4" s="717">
        <f>IF(AP4&gt;0,1,"")</f>
        <v>1</v>
      </c>
      <c r="AD4" s="715"/>
      <c r="AE4" s="715"/>
      <c r="AF4" s="718"/>
      <c r="AG4" s="719"/>
      <c r="AH4" s="720" t="str">
        <f t="shared" si="0"/>
        <v/>
      </c>
      <c r="AI4" s="721" t="str">
        <f t="shared" si="1"/>
        <v/>
      </c>
      <c r="AJ4" s="721" t="str">
        <f t="shared" si="2"/>
        <v/>
      </c>
      <c r="AK4" s="721" t="str">
        <f t="shared" si="3"/>
        <v/>
      </c>
      <c r="AL4" s="721"/>
      <c r="AM4" s="722">
        <f>AO4</f>
        <v>3958.080006497727</v>
      </c>
      <c r="AN4" s="723">
        <f>AO4</f>
        <v>3958.080006497727</v>
      </c>
      <c r="AO4" s="724">
        <f>TOTAL!K56</f>
        <v>3958.080006497727</v>
      </c>
      <c r="AP4" s="749">
        <f>IF(BA4&gt;0,BA4,"")</f>
        <v>2811.2497138601129</v>
      </c>
      <c r="AQ4" s="721" t="str">
        <f t="shared" si="4"/>
        <v/>
      </c>
      <c r="AR4" s="721" t="str">
        <f t="shared" si="5"/>
        <v/>
      </c>
      <c r="AS4" s="725" t="str">
        <f t="shared" si="6"/>
        <v/>
      </c>
      <c r="AT4" s="721"/>
      <c r="AU4" s="726">
        <f>TOTAL!D56</f>
        <v>4049.2866679417089</v>
      </c>
      <c r="AV4" s="727">
        <v>140</v>
      </c>
      <c r="AW4" s="728">
        <v>31</v>
      </c>
      <c r="AX4" s="674">
        <f t="shared" si="7"/>
        <v>4340</v>
      </c>
      <c r="AY4" s="729" t="s">
        <v>279</v>
      </c>
      <c r="AZ4" s="674">
        <f t="shared" ref="AZ4:AZ26" si="9">AM4/AW4</f>
        <v>127.6800002096041</v>
      </c>
      <c r="BA4" s="739">
        <f>IF(AZ4&lt;AX4,((AX4-AZ4)*Z4*0.5),0)</f>
        <v>2811.2497138601129</v>
      </c>
      <c r="BB4" s="731">
        <f t="shared" ref="BB4:BB26" si="10">AN4/AW4</f>
        <v>127.6800002096041</v>
      </c>
      <c r="BC4" s="732"/>
      <c r="BD4" s="733"/>
      <c r="BE4" s="733"/>
      <c r="BF4" s="733"/>
      <c r="BG4" s="733"/>
      <c r="BH4" s="733"/>
      <c r="BI4" s="733"/>
      <c r="BJ4" s="733"/>
      <c r="BK4" s="733"/>
      <c r="BL4" s="733"/>
      <c r="BM4" s="733"/>
      <c r="BN4" s="734"/>
      <c r="BO4" s="735"/>
      <c r="BP4" s="736"/>
      <c r="BQ4" s="737"/>
      <c r="BR4" s="737"/>
      <c r="BS4" s="737"/>
      <c r="BT4" s="737"/>
      <c r="BU4" s="737"/>
      <c r="BV4" s="737"/>
      <c r="BW4" s="737"/>
      <c r="BX4" s="737"/>
      <c r="BY4" s="737"/>
    </row>
    <row r="5" spans="1:77" x14ac:dyDescent="0.2">
      <c r="A5" s="674" t="s">
        <v>265</v>
      </c>
      <c r="B5" s="303" t="s">
        <v>102</v>
      </c>
      <c r="C5" s="302">
        <v>91</v>
      </c>
      <c r="D5" s="304" t="str">
        <f t="shared" ref="D5:D7" si="11">D4</f>
        <v>01/03/2013 al 31/03/2013</v>
      </c>
      <c r="E5" s="668" t="s">
        <v>247</v>
      </c>
      <c r="F5" s="305">
        <f>(AO5/AU5)*1000</f>
        <v>978.25171549524214</v>
      </c>
      <c r="G5" s="662" t="s">
        <v>218</v>
      </c>
      <c r="H5" s="709">
        <v>0</v>
      </c>
      <c r="I5" s="710">
        <v>0</v>
      </c>
      <c r="J5" s="710">
        <v>0</v>
      </c>
      <c r="K5" s="710">
        <v>0</v>
      </c>
      <c r="L5" s="710">
        <v>0</v>
      </c>
      <c r="M5" s="710">
        <v>1</v>
      </c>
      <c r="N5" s="710">
        <v>1</v>
      </c>
      <c r="O5" s="710">
        <v>1</v>
      </c>
      <c r="P5" s="711"/>
      <c r="Q5" s="710">
        <v>0</v>
      </c>
      <c r="R5" s="710">
        <v>0</v>
      </c>
      <c r="S5" s="712">
        <v>0</v>
      </c>
      <c r="T5" s="713"/>
      <c r="U5" s="714"/>
      <c r="V5" s="715"/>
      <c r="W5" s="715"/>
      <c r="X5" s="715"/>
      <c r="Y5" s="715"/>
      <c r="Z5" s="327">
        <v>2.7117140000000002</v>
      </c>
      <c r="AA5" s="327">
        <v>5.2630999999999997E-2</v>
      </c>
      <c r="AB5" s="716">
        <v>4.2864659999999999</v>
      </c>
      <c r="AC5" s="717"/>
      <c r="AD5" s="715"/>
      <c r="AE5" s="715"/>
      <c r="AF5" s="718"/>
      <c r="AG5" s="719"/>
      <c r="AH5" s="720" t="str">
        <f t="shared" si="0"/>
        <v/>
      </c>
      <c r="AI5" s="721" t="str">
        <f t="shared" si="1"/>
        <v/>
      </c>
      <c r="AJ5" s="721" t="str">
        <f t="shared" si="2"/>
        <v/>
      </c>
      <c r="AK5" s="721" t="str">
        <f t="shared" si="3"/>
        <v/>
      </c>
      <c r="AL5" s="721"/>
      <c r="AM5" s="722">
        <f>AO5</f>
        <v>938.2975092736358</v>
      </c>
      <c r="AN5" s="723">
        <f>AO5</f>
        <v>938.2975092736358</v>
      </c>
      <c r="AO5" s="724">
        <f>TOTAL!K57</f>
        <v>938.2975092736358</v>
      </c>
      <c r="AP5" s="721"/>
      <c r="AQ5" s="721" t="str">
        <f t="shared" si="4"/>
        <v/>
      </c>
      <c r="AR5" s="721" t="str">
        <f t="shared" si="5"/>
        <v/>
      </c>
      <c r="AS5" s="725" t="str">
        <f t="shared" si="6"/>
        <v/>
      </c>
      <c r="AT5" s="721"/>
      <c r="AU5" s="726">
        <f>TOTAL!D57</f>
        <v>959.15754034596353</v>
      </c>
      <c r="AV5" s="727">
        <v>0</v>
      </c>
      <c r="AW5" s="728">
        <v>31</v>
      </c>
      <c r="AX5" s="674">
        <f t="shared" si="7"/>
        <v>0</v>
      </c>
      <c r="AY5" s="729"/>
      <c r="AZ5" s="674">
        <f t="shared" si="9"/>
        <v>30.267661589472123</v>
      </c>
      <c r="BA5" s="730"/>
      <c r="BB5" s="731">
        <f t="shared" si="10"/>
        <v>30.267661589472123</v>
      </c>
      <c r="BC5" s="732"/>
      <c r="BD5" s="733"/>
      <c r="BE5" s="733"/>
      <c r="BF5" s="733"/>
      <c r="BG5" s="733"/>
      <c r="BH5" s="733"/>
      <c r="BI5" s="733"/>
      <c r="BJ5" s="733"/>
      <c r="BK5" s="733"/>
      <c r="BL5" s="733"/>
      <c r="BM5" s="733"/>
      <c r="BN5" s="734"/>
      <c r="BO5" s="735"/>
      <c r="BP5" s="736"/>
      <c r="BQ5" s="737"/>
      <c r="BR5" s="737"/>
      <c r="BS5" s="737"/>
      <c r="BT5" s="737"/>
      <c r="BU5" s="737"/>
      <c r="BV5" s="737"/>
      <c r="BW5" s="737"/>
      <c r="BX5" s="737"/>
      <c r="BY5" s="737"/>
    </row>
    <row r="6" spans="1:77" x14ac:dyDescent="0.2">
      <c r="A6" s="674" t="s">
        <v>265</v>
      </c>
      <c r="B6" s="673" t="s">
        <v>264</v>
      </c>
      <c r="C6" s="302">
        <v>93</v>
      </c>
      <c r="D6" s="304" t="str">
        <f t="shared" si="11"/>
        <v>01/03/2013 al 31/03/2013</v>
      </c>
      <c r="E6" s="668" t="s">
        <v>248</v>
      </c>
      <c r="F6" s="305">
        <f t="shared" si="8"/>
        <v>978.22343803432375</v>
      </c>
      <c r="G6" s="662" t="s">
        <v>218</v>
      </c>
      <c r="H6" s="709">
        <v>0</v>
      </c>
      <c r="I6" s="710">
        <v>0</v>
      </c>
      <c r="J6" s="710">
        <v>0</v>
      </c>
      <c r="K6" s="710">
        <v>0</v>
      </c>
      <c r="L6" s="710">
        <v>0</v>
      </c>
      <c r="M6" s="710">
        <v>1</v>
      </c>
      <c r="N6" s="326">
        <v>1</v>
      </c>
      <c r="O6" s="738">
        <v>1</v>
      </c>
      <c r="P6" s="711"/>
      <c r="Q6" s="710">
        <v>0</v>
      </c>
      <c r="R6" s="710">
        <v>0</v>
      </c>
      <c r="S6" s="712">
        <v>0</v>
      </c>
      <c r="T6" s="713"/>
      <c r="U6" s="714"/>
      <c r="V6" s="715"/>
      <c r="W6" s="715"/>
      <c r="X6" s="715"/>
      <c r="Y6" s="715"/>
      <c r="Z6" s="327">
        <v>3.238226</v>
      </c>
      <c r="AA6" s="327">
        <v>5.2630999999999997E-2</v>
      </c>
      <c r="AB6" s="716">
        <v>4.2864659999999999</v>
      </c>
      <c r="AC6" s="717"/>
      <c r="AD6" s="715"/>
      <c r="AE6" s="715"/>
      <c r="AF6" s="718"/>
      <c r="AG6" s="719"/>
      <c r="AH6" s="720"/>
      <c r="AI6" s="721"/>
      <c r="AJ6" s="721"/>
      <c r="AK6" s="721"/>
      <c r="AL6" s="721"/>
      <c r="AM6" s="722">
        <f t="shared" ref="AM6:AM21" si="12">AO6</f>
        <v>2586.7928254207341</v>
      </c>
      <c r="AN6" s="723">
        <f t="shared" ref="AN6:AN21" si="13">AO6</f>
        <v>2586.7928254207341</v>
      </c>
      <c r="AO6" s="724">
        <f>TOTAL!K58</f>
        <v>2586.7928254207341</v>
      </c>
      <c r="AP6" s="721"/>
      <c r="AQ6" s="721"/>
      <c r="AR6" s="721"/>
      <c r="AS6" s="725"/>
      <c r="AT6" s="721"/>
      <c r="AU6" s="726">
        <f>TOTAL!D58</f>
        <v>2644.378293182921</v>
      </c>
      <c r="AV6" s="727">
        <v>0</v>
      </c>
      <c r="AW6" s="728">
        <v>31</v>
      </c>
      <c r="AX6" s="674">
        <v>0</v>
      </c>
      <c r="AY6" s="729"/>
      <c r="AZ6" s="674">
        <f t="shared" si="9"/>
        <v>83.444929852281746</v>
      </c>
      <c r="BA6" s="730"/>
      <c r="BB6" s="731">
        <f t="shared" si="10"/>
        <v>83.444929852281746</v>
      </c>
      <c r="BC6" s="732"/>
      <c r="BD6" s="733"/>
      <c r="BE6" s="733"/>
      <c r="BF6" s="733"/>
      <c r="BG6" s="733"/>
      <c r="BH6" s="733"/>
      <c r="BI6" s="733"/>
      <c r="BJ6" s="733"/>
      <c r="BK6" s="733"/>
      <c r="BL6" s="733"/>
      <c r="BM6" s="733"/>
      <c r="BN6" s="734"/>
      <c r="BO6" s="735"/>
      <c r="BP6" s="736"/>
      <c r="BQ6" s="737"/>
      <c r="BR6" s="737"/>
      <c r="BS6" s="737"/>
      <c r="BT6" s="737"/>
      <c r="BU6" s="737"/>
      <c r="BV6" s="737"/>
      <c r="BW6" s="737"/>
      <c r="BX6" s="737"/>
      <c r="BY6" s="737"/>
    </row>
    <row r="7" spans="1:77" x14ac:dyDescent="0.2">
      <c r="A7" s="674" t="s">
        <v>265</v>
      </c>
      <c r="B7" s="303" t="s">
        <v>264</v>
      </c>
      <c r="C7" s="302">
        <v>95</v>
      </c>
      <c r="D7" s="304" t="str">
        <f t="shared" si="11"/>
        <v>01/03/2013 al 31/03/2013</v>
      </c>
      <c r="E7" s="668" t="s">
        <v>268</v>
      </c>
      <c r="F7" s="305">
        <f t="shared" si="8"/>
        <v>977.28567613982796</v>
      </c>
      <c r="G7" s="662" t="s">
        <v>218</v>
      </c>
      <c r="H7" s="709">
        <v>0</v>
      </c>
      <c r="I7" s="710">
        <v>0</v>
      </c>
      <c r="J7" s="710">
        <v>0</v>
      </c>
      <c r="K7" s="710">
        <v>0</v>
      </c>
      <c r="L7" s="710">
        <v>0</v>
      </c>
      <c r="M7" s="710">
        <v>1</v>
      </c>
      <c r="N7" s="326">
        <v>1</v>
      </c>
      <c r="O7" s="738">
        <v>1</v>
      </c>
      <c r="P7" s="711">
        <f>IF(AC7&gt;0,1,"")</f>
        <v>1</v>
      </c>
      <c r="Q7" s="710">
        <v>0</v>
      </c>
      <c r="R7" s="710">
        <v>0</v>
      </c>
      <c r="S7" s="712">
        <v>0</v>
      </c>
      <c r="T7" s="713"/>
      <c r="U7" s="714"/>
      <c r="V7" s="715"/>
      <c r="W7" s="715"/>
      <c r="X7" s="715"/>
      <c r="Y7" s="715"/>
      <c r="Z7" s="327">
        <v>2.8978999999999999</v>
      </c>
      <c r="AA7" s="327">
        <v>5.2600000000000001E-2</v>
      </c>
      <c r="AB7" s="716">
        <v>4.2864659999999999</v>
      </c>
      <c r="AC7" s="717">
        <f t="shared" ref="AC7:AC9" si="14">IF(AP7&gt;0,1,"")</f>
        <v>1</v>
      </c>
      <c r="AD7" s="715"/>
      <c r="AE7" s="715"/>
      <c r="AF7" s="718"/>
      <c r="AG7" s="719"/>
      <c r="AH7" s="720" t="str">
        <f t="shared" si="0"/>
        <v/>
      </c>
      <c r="AI7" s="721" t="str">
        <f t="shared" si="1"/>
        <v/>
      </c>
      <c r="AJ7" s="721" t="str">
        <f t="shared" si="2"/>
        <v/>
      </c>
      <c r="AK7" s="721" t="str">
        <f t="shared" si="3"/>
        <v/>
      </c>
      <c r="AL7" s="721"/>
      <c r="AM7" s="722">
        <f t="shared" si="12"/>
        <v>2075.9666206857046</v>
      </c>
      <c r="AN7" s="723">
        <f t="shared" si="13"/>
        <v>2075.9666206857046</v>
      </c>
      <c r="AO7" s="724">
        <f>TOTAL!K59</f>
        <v>2075.9666206857046</v>
      </c>
      <c r="AP7" s="721">
        <f t="shared" ref="AP7:AP9" si="15">IF(BA7&gt;0,BA7,"")</f>
        <v>2148.8411504824985</v>
      </c>
      <c r="AQ7" s="721" t="str">
        <f t="shared" si="4"/>
        <v/>
      </c>
      <c r="AR7" s="721" t="str">
        <f t="shared" si="5"/>
        <v/>
      </c>
      <c r="AS7" s="725" t="str">
        <f t="shared" si="6"/>
        <v/>
      </c>
      <c r="AT7" s="721"/>
      <c r="AU7" s="726">
        <f>TOTAL!D59</f>
        <v>2124.216768310313</v>
      </c>
      <c r="AV7" s="727">
        <v>50</v>
      </c>
      <c r="AW7" s="728">
        <v>31</v>
      </c>
      <c r="AX7" s="674">
        <f t="shared" si="7"/>
        <v>1550</v>
      </c>
      <c r="AY7" s="729" t="s">
        <v>279</v>
      </c>
      <c r="AZ7" s="674">
        <f t="shared" si="9"/>
        <v>66.96666518340983</v>
      </c>
      <c r="BA7" s="730">
        <f>IF(AZ7&lt;AX7,((AX7-AZ7)*Z7*0.5),0)</f>
        <v>2148.8411504824985</v>
      </c>
      <c r="BB7" s="731">
        <f t="shared" si="10"/>
        <v>66.96666518340983</v>
      </c>
      <c r="BC7" s="732"/>
      <c r="BD7" s="733"/>
      <c r="BE7" s="733"/>
      <c r="BF7" s="733"/>
      <c r="BG7" s="733"/>
      <c r="BH7" s="733"/>
      <c r="BI7" s="733"/>
      <c r="BJ7" s="733"/>
      <c r="BK7" s="733"/>
      <c r="BL7" s="733"/>
      <c r="BM7" s="733"/>
      <c r="BN7" s="734"/>
      <c r="BO7" s="735"/>
      <c r="BP7" s="736"/>
      <c r="BQ7" s="737"/>
      <c r="BR7" s="737"/>
      <c r="BS7" s="737"/>
      <c r="BT7" s="737"/>
      <c r="BU7" s="737"/>
      <c r="BV7" s="737"/>
      <c r="BW7" s="737"/>
      <c r="BX7" s="737"/>
      <c r="BY7" s="737"/>
    </row>
    <row r="8" spans="1:77" x14ac:dyDescent="0.2">
      <c r="A8" s="674" t="s">
        <v>265</v>
      </c>
      <c r="B8" s="303" t="s">
        <v>102</v>
      </c>
      <c r="C8" s="302">
        <v>99</v>
      </c>
      <c r="D8" s="304" t="str">
        <f t="shared" ref="D8:D37" si="16">D7</f>
        <v>01/03/2013 al 31/03/2013</v>
      </c>
      <c r="E8" s="668" t="s">
        <v>250</v>
      </c>
      <c r="F8" s="305">
        <f t="shared" si="8"/>
        <v>978.37526743812464</v>
      </c>
      <c r="G8" s="662" t="s">
        <v>218</v>
      </c>
      <c r="H8" s="709">
        <v>0</v>
      </c>
      <c r="I8" s="710">
        <v>0</v>
      </c>
      <c r="J8" s="710">
        <v>0</v>
      </c>
      <c r="K8" s="710">
        <v>0</v>
      </c>
      <c r="L8" s="710">
        <v>0</v>
      </c>
      <c r="M8" s="710">
        <v>1</v>
      </c>
      <c r="N8" s="326">
        <v>1</v>
      </c>
      <c r="O8" s="738">
        <v>1</v>
      </c>
      <c r="P8" s="711">
        <f t="shared" ref="P8:P9" si="17">IF(AC8&gt;0,1,"")</f>
        <v>1</v>
      </c>
      <c r="Q8" s="710">
        <v>0</v>
      </c>
      <c r="R8" s="710">
        <v>0</v>
      </c>
      <c r="S8" s="712">
        <v>0</v>
      </c>
      <c r="T8" s="713"/>
      <c r="U8" s="714"/>
      <c r="V8" s="715"/>
      <c r="W8" s="715"/>
      <c r="X8" s="715"/>
      <c r="Y8" s="715"/>
      <c r="Z8" s="327">
        <v>1.3163560000000001</v>
      </c>
      <c r="AA8" s="327">
        <v>5.2630999999999997E-2</v>
      </c>
      <c r="AB8" s="716">
        <v>4.2864659999999999</v>
      </c>
      <c r="AC8" s="327">
        <f t="shared" si="14"/>
        <v>1</v>
      </c>
      <c r="AD8" s="715"/>
      <c r="AE8" s="715"/>
      <c r="AF8" s="718"/>
      <c r="AG8" s="719"/>
      <c r="AH8" s="720" t="str">
        <f t="shared" si="0"/>
        <v/>
      </c>
      <c r="AI8" s="721" t="str">
        <f t="shared" si="1"/>
        <v/>
      </c>
      <c r="AJ8" s="721" t="str">
        <f t="shared" si="2"/>
        <v/>
      </c>
      <c r="AK8" s="721" t="str">
        <f t="shared" si="3"/>
        <v/>
      </c>
      <c r="AL8" s="721"/>
      <c r="AM8" s="722">
        <f t="shared" si="12"/>
        <v>8334.0293614290676</v>
      </c>
      <c r="AN8" s="723">
        <f t="shared" si="13"/>
        <v>8334.0293614290676</v>
      </c>
      <c r="AO8" s="724">
        <f>TOTAL!K60</f>
        <v>8334.0293614290676</v>
      </c>
      <c r="AP8" s="721">
        <f t="shared" si="15"/>
        <v>1003.85006</v>
      </c>
      <c r="AQ8" s="721" t="str">
        <f t="shared" si="4"/>
        <v/>
      </c>
      <c r="AR8" s="721" t="str">
        <f t="shared" si="5"/>
        <v/>
      </c>
      <c r="AS8" s="725" t="str">
        <f t="shared" si="6"/>
        <v/>
      </c>
      <c r="AT8" s="721"/>
      <c r="AU8" s="726">
        <f>TOTAL!D60</f>
        <v>8518.2338912263403</v>
      </c>
      <c r="AV8" s="727">
        <v>20</v>
      </c>
      <c r="AW8" s="728">
        <v>31</v>
      </c>
      <c r="AX8" s="674">
        <f t="shared" si="7"/>
        <v>620</v>
      </c>
      <c r="AY8" s="729" t="s">
        <v>280</v>
      </c>
      <c r="AZ8" s="674">
        <f t="shared" si="9"/>
        <v>268.83965682029253</v>
      </c>
      <c r="BA8" s="739">
        <f>IF(AZ8&lt;AX8,0.5*AX8*Z9,0)</f>
        <v>1003.85006</v>
      </c>
      <c r="BB8" s="731">
        <f t="shared" si="10"/>
        <v>268.83965682029253</v>
      </c>
      <c r="BC8" s="732"/>
      <c r="BD8" s="733"/>
      <c r="BE8" s="733"/>
      <c r="BF8" s="733"/>
      <c r="BG8" s="733"/>
      <c r="BH8" s="733"/>
      <c r="BI8" s="733"/>
      <c r="BJ8" s="733"/>
      <c r="BK8" s="733"/>
      <c r="BL8" s="733"/>
      <c r="BM8" s="733"/>
      <c r="BN8" s="734"/>
      <c r="BO8" s="735"/>
      <c r="BP8" s="736"/>
      <c r="BQ8" s="737"/>
      <c r="BR8" s="737"/>
      <c r="BS8" s="737"/>
      <c r="BT8" s="737"/>
      <c r="BU8" s="737"/>
      <c r="BV8" s="737"/>
      <c r="BW8" s="737"/>
      <c r="BX8" s="737"/>
      <c r="BY8" s="737"/>
    </row>
    <row r="9" spans="1:77" x14ac:dyDescent="0.2">
      <c r="A9" s="674" t="s">
        <v>265</v>
      </c>
      <c r="B9" s="303" t="s">
        <v>102</v>
      </c>
      <c r="C9" s="302">
        <v>101</v>
      </c>
      <c r="D9" s="304" t="str">
        <f t="shared" si="16"/>
        <v>01/03/2013 al 31/03/2013</v>
      </c>
      <c r="E9" s="668" t="s">
        <v>251</v>
      </c>
      <c r="F9" s="305">
        <f t="shared" si="8"/>
        <v>978.80761912949015</v>
      </c>
      <c r="G9" s="662" t="s">
        <v>218</v>
      </c>
      <c r="H9" s="709">
        <v>0</v>
      </c>
      <c r="I9" s="710">
        <v>0</v>
      </c>
      <c r="J9" s="710">
        <v>0</v>
      </c>
      <c r="K9" s="710">
        <v>0</v>
      </c>
      <c r="L9" s="710">
        <v>0</v>
      </c>
      <c r="M9" s="710">
        <v>1</v>
      </c>
      <c r="N9" s="326">
        <v>1</v>
      </c>
      <c r="O9" s="738">
        <v>1</v>
      </c>
      <c r="P9" s="711">
        <f t="shared" si="17"/>
        <v>1</v>
      </c>
      <c r="Q9" s="710">
        <v>0</v>
      </c>
      <c r="R9" s="710">
        <v>0</v>
      </c>
      <c r="S9" s="712">
        <v>0</v>
      </c>
      <c r="T9" s="713"/>
      <c r="U9" s="714"/>
      <c r="V9" s="715"/>
      <c r="W9" s="715"/>
      <c r="X9" s="715"/>
      <c r="Y9" s="715"/>
      <c r="Z9" s="327">
        <v>3.238226</v>
      </c>
      <c r="AA9" s="327">
        <v>5.2630999999999997E-2</v>
      </c>
      <c r="AB9" s="716">
        <v>4.2864659999999999</v>
      </c>
      <c r="AC9" s="327">
        <f t="shared" si="14"/>
        <v>1</v>
      </c>
      <c r="AD9" s="715"/>
      <c r="AE9" s="715"/>
      <c r="AF9" s="718"/>
      <c r="AG9" s="719"/>
      <c r="AH9" s="720"/>
      <c r="AI9" s="721"/>
      <c r="AJ9" s="721"/>
      <c r="AK9" s="721"/>
      <c r="AL9" s="721"/>
      <c r="AM9" s="722">
        <f t="shared" si="12"/>
        <v>1080.2831299929796</v>
      </c>
      <c r="AN9" s="723">
        <f t="shared" si="13"/>
        <v>1080.2831299929796</v>
      </c>
      <c r="AO9" s="724">
        <f>TOTAL!K61</f>
        <v>1080.2831299929796</v>
      </c>
      <c r="AP9" s="721">
        <f t="shared" si="15"/>
        <v>1392.929899067592</v>
      </c>
      <c r="AQ9" s="721"/>
      <c r="AR9" s="721"/>
      <c r="AS9" s="725"/>
      <c r="AT9" s="721"/>
      <c r="AU9" s="726">
        <f>TOTAL!D61</f>
        <v>1103.6725796574178</v>
      </c>
      <c r="AV9" s="727">
        <v>15</v>
      </c>
      <c r="AW9" s="728">
        <v>31</v>
      </c>
      <c r="AX9" s="674">
        <f t="shared" si="7"/>
        <v>465</v>
      </c>
      <c r="AY9" s="729" t="s">
        <v>237</v>
      </c>
      <c r="AZ9" s="674">
        <f t="shared" si="9"/>
        <v>34.847842902999346</v>
      </c>
      <c r="BA9" s="739">
        <f>IF(AZ9&lt;AX9,((AX9-AZ9)*Z9),0)</f>
        <v>1392.929899067592</v>
      </c>
      <c r="BB9" s="731">
        <f>AN9/AW9</f>
        <v>34.847842902999346</v>
      </c>
      <c r="BC9" s="740"/>
      <c r="BD9" s="741"/>
      <c r="BE9" s="741"/>
      <c r="BF9" s="741"/>
      <c r="BG9" s="741"/>
      <c r="BH9" s="741"/>
      <c r="BI9" s="741"/>
      <c r="BJ9" s="741"/>
      <c r="BK9" s="741"/>
      <c r="BL9" s="741"/>
      <c r="BM9" s="741"/>
      <c r="BN9" s="742"/>
      <c r="BO9" s="735"/>
      <c r="BP9" s="736"/>
      <c r="BQ9" s="737"/>
      <c r="BR9" s="737"/>
      <c r="BS9" s="737"/>
      <c r="BT9" s="737"/>
      <c r="BU9" s="737"/>
      <c r="BV9" s="737"/>
      <c r="BW9" s="737"/>
      <c r="BX9" s="737"/>
      <c r="BY9" s="737"/>
    </row>
    <row r="10" spans="1:77" ht="13.5" thickBot="1" x14ac:dyDescent="0.25">
      <c r="A10" s="674" t="s">
        <v>265</v>
      </c>
      <c r="B10" s="303" t="s">
        <v>102</v>
      </c>
      <c r="C10" s="325">
        <v>105</v>
      </c>
      <c r="D10" s="304" t="str">
        <f t="shared" si="16"/>
        <v>01/03/2013 al 31/03/2013</v>
      </c>
      <c r="E10" s="668" t="s">
        <v>269</v>
      </c>
      <c r="F10" s="305">
        <f t="shared" si="8"/>
        <v>978.31584520559284</v>
      </c>
      <c r="G10" s="662" t="s">
        <v>218</v>
      </c>
      <c r="H10" s="709">
        <v>0</v>
      </c>
      <c r="I10" s="710">
        <v>0</v>
      </c>
      <c r="J10" s="710">
        <v>0</v>
      </c>
      <c r="K10" s="710">
        <v>0</v>
      </c>
      <c r="L10" s="710">
        <v>0</v>
      </c>
      <c r="M10" s="710">
        <v>1</v>
      </c>
      <c r="N10" s="326">
        <v>1</v>
      </c>
      <c r="O10" s="738">
        <v>1</v>
      </c>
      <c r="P10" s="711"/>
      <c r="Q10" s="710">
        <v>0</v>
      </c>
      <c r="R10" s="710">
        <v>0</v>
      </c>
      <c r="S10" s="712">
        <v>0</v>
      </c>
      <c r="T10" s="713"/>
      <c r="U10" s="714"/>
      <c r="V10" s="715"/>
      <c r="W10" s="715"/>
      <c r="X10" s="715"/>
      <c r="Y10" s="715"/>
      <c r="Z10" s="327">
        <v>0.5585</v>
      </c>
      <c r="AA10" s="327">
        <v>5.0900000000000001E-2</v>
      </c>
      <c r="AB10" s="716">
        <v>4.2864659999999999</v>
      </c>
      <c r="AC10" s="717"/>
      <c r="AD10" s="715"/>
      <c r="AE10" s="715"/>
      <c r="AF10" s="718"/>
      <c r="AG10" s="719"/>
      <c r="AH10" s="720" t="str">
        <f t="shared" si="0"/>
        <v/>
      </c>
      <c r="AI10" s="721" t="str">
        <f t="shared" si="1"/>
        <v/>
      </c>
      <c r="AJ10" s="721" t="str">
        <f t="shared" si="2"/>
        <v/>
      </c>
      <c r="AK10" s="721" t="str">
        <f t="shared" si="3"/>
        <v/>
      </c>
      <c r="AL10" s="721"/>
      <c r="AM10" s="722">
        <f t="shared" si="12"/>
        <v>10062.953188235122</v>
      </c>
      <c r="AN10" s="723">
        <f t="shared" si="13"/>
        <v>10062.953188235122</v>
      </c>
      <c r="AO10" s="724">
        <f>TOTAL!K62</f>
        <v>10062.953188235122</v>
      </c>
      <c r="AP10" s="721"/>
      <c r="AQ10" s="721" t="str">
        <f t="shared" si="4"/>
        <v/>
      </c>
      <c r="AR10" s="721" t="str">
        <f t="shared" si="5"/>
        <v/>
      </c>
      <c r="AS10" s="725" t="str">
        <f t="shared" si="6"/>
        <v/>
      </c>
      <c r="AT10" s="721"/>
      <c r="AU10" s="726">
        <f>TOTAL!D62</f>
        <v>10285.996324755832</v>
      </c>
      <c r="AV10" s="727">
        <v>0</v>
      </c>
      <c r="AW10" s="728">
        <v>31</v>
      </c>
      <c r="AX10" s="674">
        <f t="shared" si="7"/>
        <v>0</v>
      </c>
      <c r="AY10" s="729"/>
      <c r="AZ10" s="674">
        <f t="shared" si="9"/>
        <v>324.61139316887488</v>
      </c>
      <c r="BA10" s="739"/>
      <c r="BB10" s="731">
        <f t="shared" si="10"/>
        <v>324.61139316887488</v>
      </c>
      <c r="BC10" s="743"/>
      <c r="BD10" s="744"/>
      <c r="BE10" s="744"/>
      <c r="BF10" s="744"/>
      <c r="BG10" s="744"/>
      <c r="BH10" s="744"/>
      <c r="BI10" s="744"/>
      <c r="BJ10" s="744"/>
      <c r="BK10" s="744"/>
      <c r="BL10" s="744"/>
      <c r="BM10" s="744"/>
      <c r="BN10" s="745"/>
      <c r="BO10" s="735"/>
      <c r="BP10" s="736"/>
      <c r="BQ10" s="737"/>
      <c r="BR10" s="737"/>
      <c r="BS10" s="737"/>
      <c r="BT10" s="737"/>
      <c r="BU10" s="737"/>
      <c r="BV10" s="737"/>
      <c r="BW10" s="737"/>
      <c r="BX10" s="737"/>
      <c r="BY10" s="737"/>
    </row>
    <row r="11" spans="1:77" ht="13.5" thickBot="1" x14ac:dyDescent="0.25">
      <c r="A11" s="674" t="s">
        <v>265</v>
      </c>
      <c r="B11" s="303" t="s">
        <v>102</v>
      </c>
      <c r="C11" s="325">
        <v>107</v>
      </c>
      <c r="D11" s="304" t="str">
        <f t="shared" si="16"/>
        <v>01/03/2013 al 31/03/2013</v>
      </c>
      <c r="E11" s="668" t="s">
        <v>270</v>
      </c>
      <c r="F11" s="305">
        <f t="shared" si="8"/>
        <v>977.0275393890646</v>
      </c>
      <c r="G11" s="662" t="s">
        <v>218</v>
      </c>
      <c r="H11" s="709">
        <v>0</v>
      </c>
      <c r="I11" s="710">
        <v>0</v>
      </c>
      <c r="J11" s="710">
        <v>0</v>
      </c>
      <c r="K11" s="710">
        <v>0</v>
      </c>
      <c r="L11" s="710">
        <v>0</v>
      </c>
      <c r="M11" s="710">
        <v>1</v>
      </c>
      <c r="N11" s="326">
        <v>1</v>
      </c>
      <c r="O11" s="738">
        <v>1</v>
      </c>
      <c r="P11" s="711">
        <f>IF(AC11&gt;0,1,"")</f>
        <v>1</v>
      </c>
      <c r="Q11" s="710">
        <v>0</v>
      </c>
      <c r="R11" s="710">
        <v>0</v>
      </c>
      <c r="S11" s="712">
        <v>0</v>
      </c>
      <c r="T11" s="713"/>
      <c r="U11" s="714"/>
      <c r="V11" s="715"/>
      <c r="W11" s="715"/>
      <c r="X11" s="715"/>
      <c r="Y11" s="715"/>
      <c r="Z11" s="327">
        <v>2.9089999999999998</v>
      </c>
      <c r="AA11" s="327">
        <v>0.52649999999999997</v>
      </c>
      <c r="AB11" s="716">
        <v>4.2864659999999999</v>
      </c>
      <c r="AC11" s="717">
        <f>IF(AP11&gt;0,1,"")</f>
        <v>1</v>
      </c>
      <c r="AD11" s="715"/>
      <c r="AE11" s="715"/>
      <c r="AF11" s="718"/>
      <c r="AG11" s="719"/>
      <c r="AH11" s="720" t="str">
        <f t="shared" si="0"/>
        <v/>
      </c>
      <c r="AI11" s="721" t="str">
        <f t="shared" si="1"/>
        <v/>
      </c>
      <c r="AJ11" s="721" t="str">
        <f t="shared" si="2"/>
        <v/>
      </c>
      <c r="AK11" s="721" t="str">
        <f t="shared" si="3"/>
        <v/>
      </c>
      <c r="AL11" s="721"/>
      <c r="AM11" s="722">
        <f t="shared" si="12"/>
        <v>871.36237979052942</v>
      </c>
      <c r="AN11" s="723">
        <f t="shared" si="13"/>
        <v>871.36237979052942</v>
      </c>
      <c r="AO11" s="724">
        <f>TOTAL!K63</f>
        <v>871.36237979052942</v>
      </c>
      <c r="AP11" s="721">
        <f>IF(BA11&gt;0,BA11,"")</f>
        <v>1297.9711786190112</v>
      </c>
      <c r="AQ11" s="721" t="str">
        <f t="shared" si="4"/>
        <v/>
      </c>
      <c r="AR11" s="721" t="str">
        <f t="shared" si="5"/>
        <v/>
      </c>
      <c r="AS11" s="725" t="str">
        <f t="shared" si="6"/>
        <v/>
      </c>
      <c r="AT11" s="721"/>
      <c r="AU11" s="726">
        <f>TOTAL!D63</f>
        <v>891.85037745752015</v>
      </c>
      <c r="AV11" s="727">
        <v>15.3</v>
      </c>
      <c r="AW11" s="728">
        <v>31</v>
      </c>
      <c r="AX11" s="674">
        <f t="shared" si="7"/>
        <v>474.3</v>
      </c>
      <c r="AY11" s="729" t="s">
        <v>237</v>
      </c>
      <c r="AZ11" s="674">
        <f t="shared" si="9"/>
        <v>28.108463864210627</v>
      </c>
      <c r="BA11" s="739">
        <f>IF(AZ11&gt;AX11,0,((AX11-AZ11)*Z11))</f>
        <v>1297.9711786190112</v>
      </c>
      <c r="BB11" s="731">
        <f t="shared" si="10"/>
        <v>28.108463864210627</v>
      </c>
      <c r="BC11" s="743"/>
      <c r="BD11" s="744"/>
      <c r="BE11" s="744"/>
      <c r="BF11" s="744"/>
      <c r="BG11" s="744"/>
      <c r="BH11" s="744"/>
      <c r="BI11" s="744"/>
      <c r="BJ11" s="744"/>
      <c r="BK11" s="744"/>
      <c r="BL11" s="744"/>
      <c r="BM11" s="744"/>
      <c r="BN11" s="745"/>
      <c r="BO11" s="735"/>
      <c r="BP11" s="736"/>
      <c r="BQ11" s="737"/>
      <c r="BR11" s="737"/>
      <c r="BS11" s="737"/>
      <c r="BT11" s="737"/>
      <c r="BU11" s="737"/>
      <c r="BV11" s="737"/>
      <c r="BW11" s="737"/>
      <c r="BX11" s="737"/>
      <c r="BY11" s="737"/>
    </row>
    <row r="12" spans="1:77" ht="13.5" thickBot="1" x14ac:dyDescent="0.25">
      <c r="A12" s="674" t="s">
        <v>265</v>
      </c>
      <c r="B12" s="303" t="s">
        <v>102</v>
      </c>
      <c r="C12" s="325">
        <v>129</v>
      </c>
      <c r="D12" s="304" t="str">
        <f t="shared" si="16"/>
        <v>01/03/2013 al 31/03/2013</v>
      </c>
      <c r="E12" s="668" t="s">
        <v>254</v>
      </c>
      <c r="F12" s="305">
        <f t="shared" si="8"/>
        <v>978.7225135637658</v>
      </c>
      <c r="G12" s="662" t="s">
        <v>218</v>
      </c>
      <c r="H12" s="709">
        <v>0</v>
      </c>
      <c r="I12" s="710">
        <v>0</v>
      </c>
      <c r="J12" s="710">
        <v>0</v>
      </c>
      <c r="K12" s="710">
        <v>0</v>
      </c>
      <c r="L12" s="710">
        <v>0</v>
      </c>
      <c r="M12" s="710">
        <v>1</v>
      </c>
      <c r="N12" s="326">
        <v>1</v>
      </c>
      <c r="O12" s="738">
        <v>1</v>
      </c>
      <c r="P12" s="711"/>
      <c r="Q12" s="710">
        <v>0</v>
      </c>
      <c r="R12" s="710">
        <v>0</v>
      </c>
      <c r="S12" s="712">
        <v>0</v>
      </c>
      <c r="T12" s="713"/>
      <c r="U12" s="714"/>
      <c r="V12" s="715"/>
      <c r="W12" s="715"/>
      <c r="X12" s="715"/>
      <c r="Y12" s="715"/>
      <c r="Z12" s="327">
        <v>0.5585</v>
      </c>
      <c r="AA12" s="327">
        <v>5.0900000000000001E-2</v>
      </c>
      <c r="AB12" s="716">
        <v>4.2864659999999999</v>
      </c>
      <c r="AC12" s="717"/>
      <c r="AD12" s="715"/>
      <c r="AE12" s="715"/>
      <c r="AF12" s="718"/>
      <c r="AG12" s="719"/>
      <c r="AH12" s="720" t="str">
        <f t="shared" si="0"/>
        <v/>
      </c>
      <c r="AI12" s="721" t="str">
        <f t="shared" si="1"/>
        <v/>
      </c>
      <c r="AJ12" s="721" t="str">
        <f t="shared" si="2"/>
        <v/>
      </c>
      <c r="AK12" s="721" t="str">
        <f t="shared" si="3"/>
        <v/>
      </c>
      <c r="AL12" s="721"/>
      <c r="AM12" s="722">
        <f t="shared" si="12"/>
        <v>17704.619237828374</v>
      </c>
      <c r="AN12" s="723">
        <f t="shared" si="13"/>
        <v>17704.619237828374</v>
      </c>
      <c r="AO12" s="724">
        <f>TOTAL!K64</f>
        <v>17704.619237828374</v>
      </c>
      <c r="AP12" s="721"/>
      <c r="AQ12" s="721" t="str">
        <f t="shared" si="4"/>
        <v/>
      </c>
      <c r="AR12" s="721" t="str">
        <f t="shared" si="5"/>
        <v/>
      </c>
      <c r="AS12" s="725" t="str">
        <f t="shared" si="6"/>
        <v/>
      </c>
      <c r="AT12" s="721"/>
      <c r="AU12" s="726">
        <f>TOTAL!D64</f>
        <v>18089.518727184037</v>
      </c>
      <c r="AV12" s="727">
        <v>35</v>
      </c>
      <c r="AW12" s="728">
        <v>31</v>
      </c>
      <c r="AX12" s="674">
        <f t="shared" si="7"/>
        <v>1085</v>
      </c>
      <c r="AY12" s="729"/>
      <c r="AZ12" s="674">
        <f t="shared" si="9"/>
        <v>571.11674960736696</v>
      </c>
      <c r="BA12" s="739"/>
      <c r="BB12" s="731">
        <f t="shared" si="10"/>
        <v>571.11674960736696</v>
      </c>
      <c r="BC12" s="743"/>
      <c r="BD12" s="744"/>
      <c r="BE12" s="744"/>
      <c r="BF12" s="744"/>
      <c r="BG12" s="744"/>
      <c r="BH12" s="744"/>
      <c r="BI12" s="744"/>
      <c r="BJ12" s="744"/>
      <c r="BK12" s="744"/>
      <c r="BL12" s="744"/>
      <c r="BM12" s="744"/>
      <c r="BN12" s="745"/>
      <c r="BO12" s="735"/>
      <c r="BP12" s="736"/>
      <c r="BQ12" s="737"/>
      <c r="BR12" s="737"/>
      <c r="BS12" s="737"/>
      <c r="BT12" s="737"/>
      <c r="BU12" s="737"/>
      <c r="BV12" s="737"/>
      <c r="BW12" s="737"/>
      <c r="BX12" s="737"/>
      <c r="BY12" s="737"/>
    </row>
    <row r="13" spans="1:77" ht="13.5" thickBot="1" x14ac:dyDescent="0.25">
      <c r="A13" s="674" t="s">
        <v>265</v>
      </c>
      <c r="B13" s="303" t="s">
        <v>102</v>
      </c>
      <c r="C13" s="325">
        <v>151</v>
      </c>
      <c r="D13" s="304" t="str">
        <f t="shared" si="16"/>
        <v>01/03/2013 al 31/03/2013</v>
      </c>
      <c r="E13" s="668" t="s">
        <v>255</v>
      </c>
      <c r="F13" s="305">
        <f t="shared" si="8"/>
        <v>978.86488471675636</v>
      </c>
      <c r="G13" s="662" t="s">
        <v>218</v>
      </c>
      <c r="H13" s="709">
        <v>0</v>
      </c>
      <c r="I13" s="710">
        <v>0</v>
      </c>
      <c r="J13" s="710">
        <v>0</v>
      </c>
      <c r="K13" s="710">
        <v>0</v>
      </c>
      <c r="L13" s="710">
        <v>0</v>
      </c>
      <c r="M13" s="710">
        <v>1</v>
      </c>
      <c r="N13" s="326">
        <v>1</v>
      </c>
      <c r="O13" s="738">
        <v>1</v>
      </c>
      <c r="P13" s="711"/>
      <c r="Q13" s="710">
        <v>0</v>
      </c>
      <c r="R13" s="710">
        <v>0</v>
      </c>
      <c r="S13" s="712">
        <v>0</v>
      </c>
      <c r="T13" s="713"/>
      <c r="U13" s="714"/>
      <c r="V13" s="715"/>
      <c r="W13" s="715"/>
      <c r="X13" s="715"/>
      <c r="Y13" s="715"/>
      <c r="Z13" s="327">
        <v>3.0762999999999998</v>
      </c>
      <c r="AA13" s="327">
        <v>4.9799999999999997E-2</v>
      </c>
      <c r="AB13" s="716">
        <v>4.2864659999999999</v>
      </c>
      <c r="AC13" s="717"/>
      <c r="AD13" s="715"/>
      <c r="AE13" s="715"/>
      <c r="AF13" s="718"/>
      <c r="AG13" s="719"/>
      <c r="AH13" s="720"/>
      <c r="AI13" s="721"/>
      <c r="AJ13" s="721"/>
      <c r="AK13" s="721"/>
      <c r="AL13" s="721"/>
      <c r="AM13" s="722">
        <f t="shared" si="12"/>
        <v>1312.5367294974419</v>
      </c>
      <c r="AN13" s="723">
        <f t="shared" si="13"/>
        <v>1312.5367294974419</v>
      </c>
      <c r="AO13" s="724">
        <f>TOTAL!K65</f>
        <v>1312.5367294974419</v>
      </c>
      <c r="AP13" s="721"/>
      <c r="AQ13" s="721"/>
      <c r="AR13" s="721"/>
      <c r="AS13" s="725"/>
      <c r="AT13" s="721"/>
      <c r="AU13" s="726">
        <f>TOTAL!D65</f>
        <v>1340.8763047795269</v>
      </c>
      <c r="AV13" s="727">
        <v>525</v>
      </c>
      <c r="AW13" s="728">
        <v>31</v>
      </c>
      <c r="AX13" s="674">
        <f t="shared" si="7"/>
        <v>16275</v>
      </c>
      <c r="AY13" s="729" t="s">
        <v>281</v>
      </c>
      <c r="AZ13" s="674">
        <f t="shared" si="9"/>
        <v>42.339894499917484</v>
      </c>
      <c r="BA13" s="739"/>
      <c r="BB13" s="731">
        <f t="shared" si="10"/>
        <v>42.339894499917484</v>
      </c>
      <c r="BC13" s="743"/>
      <c r="BD13" s="744"/>
      <c r="BE13" s="744"/>
      <c r="BF13" s="744"/>
      <c r="BG13" s="744"/>
      <c r="BH13" s="744"/>
      <c r="BI13" s="744"/>
      <c r="BJ13" s="744"/>
      <c r="BK13" s="744"/>
      <c r="BL13" s="744"/>
      <c r="BM13" s="744"/>
      <c r="BN13" s="745"/>
      <c r="BO13" s="735"/>
      <c r="BP13" s="736"/>
      <c r="BQ13" s="737"/>
      <c r="BR13" s="737"/>
      <c r="BS13" s="737"/>
      <c r="BT13" s="737"/>
      <c r="BU13" s="737"/>
      <c r="BV13" s="737"/>
      <c r="BW13" s="737"/>
      <c r="BX13" s="737"/>
      <c r="BY13" s="737"/>
    </row>
    <row r="14" spans="1:77" ht="13.5" thickBot="1" x14ac:dyDescent="0.25">
      <c r="A14" s="674" t="s">
        <v>265</v>
      </c>
      <c r="B14" s="303" t="s">
        <v>102</v>
      </c>
      <c r="C14" s="325">
        <v>195</v>
      </c>
      <c r="D14" s="304" t="str">
        <f t="shared" si="16"/>
        <v>01/03/2013 al 31/03/2013</v>
      </c>
      <c r="E14" s="668" t="s">
        <v>256</v>
      </c>
      <c r="F14" s="305">
        <f t="shared" si="8"/>
        <v>979.09680941433089</v>
      </c>
      <c r="G14" s="662" t="s">
        <v>218</v>
      </c>
      <c r="H14" s="709">
        <v>0</v>
      </c>
      <c r="I14" s="710">
        <v>0</v>
      </c>
      <c r="J14" s="710">
        <v>0</v>
      </c>
      <c r="K14" s="710">
        <v>0</v>
      </c>
      <c r="L14" s="710">
        <v>0</v>
      </c>
      <c r="M14" s="710">
        <v>1</v>
      </c>
      <c r="N14" s="326">
        <v>1</v>
      </c>
      <c r="O14" s="738">
        <v>1</v>
      </c>
      <c r="P14" s="711"/>
      <c r="Q14" s="710">
        <v>0</v>
      </c>
      <c r="R14" s="710">
        <v>0</v>
      </c>
      <c r="S14" s="712">
        <v>0</v>
      </c>
      <c r="T14" s="713"/>
      <c r="U14" s="714"/>
      <c r="V14" s="715"/>
      <c r="W14" s="715"/>
      <c r="X14" s="715"/>
      <c r="Y14" s="715"/>
      <c r="Z14" s="327">
        <v>3.0234999999999999</v>
      </c>
      <c r="AA14" s="327">
        <v>4.8399999999999999E-2</v>
      </c>
      <c r="AB14" s="716">
        <v>4.2864659999999999</v>
      </c>
      <c r="AC14" s="717"/>
      <c r="AD14" s="715"/>
      <c r="AE14" s="715"/>
      <c r="AF14" s="718"/>
      <c r="AG14" s="719"/>
      <c r="AH14" s="720"/>
      <c r="AI14" s="721"/>
      <c r="AJ14" s="721"/>
      <c r="AK14" s="721"/>
      <c r="AL14" s="721"/>
      <c r="AM14" s="722">
        <f t="shared" si="12"/>
        <v>257.64267279234548</v>
      </c>
      <c r="AN14" s="723">
        <f t="shared" si="13"/>
        <v>257.64267279234548</v>
      </c>
      <c r="AO14" s="724">
        <f>TOTAL!K66</f>
        <v>257.64267279234548</v>
      </c>
      <c r="AP14" s="721"/>
      <c r="AQ14" s="721"/>
      <c r="AR14" s="721"/>
      <c r="AS14" s="725"/>
      <c r="AT14" s="721"/>
      <c r="AU14" s="726">
        <f>TOTAL!D66</f>
        <v>263.14320536542277</v>
      </c>
      <c r="AV14" s="727">
        <v>10</v>
      </c>
      <c r="AW14" s="728">
        <v>31</v>
      </c>
      <c r="AX14" s="674">
        <f t="shared" si="7"/>
        <v>310</v>
      </c>
      <c r="AY14" s="729" t="s">
        <v>281</v>
      </c>
      <c r="AZ14" s="674">
        <f t="shared" si="9"/>
        <v>8.3110539610434024</v>
      </c>
      <c r="BA14" s="739"/>
      <c r="BB14" s="731">
        <f t="shared" si="10"/>
        <v>8.3110539610434024</v>
      </c>
      <c r="BC14" s="743"/>
      <c r="BD14" s="744"/>
      <c r="BE14" s="744"/>
      <c r="BF14" s="744"/>
      <c r="BG14" s="744"/>
      <c r="BH14" s="744"/>
      <c r="BI14" s="744"/>
      <c r="BJ14" s="744"/>
      <c r="BK14" s="744"/>
      <c r="BL14" s="744"/>
      <c r="BM14" s="744"/>
      <c r="BN14" s="745"/>
      <c r="BO14" s="735"/>
      <c r="BP14" s="736"/>
      <c r="BQ14" s="737"/>
      <c r="BR14" s="737"/>
      <c r="BS14" s="737"/>
      <c r="BT14" s="737"/>
      <c r="BU14" s="737"/>
      <c r="BV14" s="737"/>
      <c r="BW14" s="737"/>
      <c r="BX14" s="737"/>
      <c r="BY14" s="737"/>
    </row>
    <row r="15" spans="1:77" ht="13.5" thickBot="1" x14ac:dyDescent="0.25">
      <c r="A15" s="674" t="s">
        <v>265</v>
      </c>
      <c r="B15" s="303" t="s">
        <v>102</v>
      </c>
      <c r="C15" s="325">
        <v>275</v>
      </c>
      <c r="D15" s="304" t="str">
        <f t="shared" si="16"/>
        <v>01/03/2013 al 31/03/2013</v>
      </c>
      <c r="E15" s="668" t="s">
        <v>271</v>
      </c>
      <c r="F15" s="305">
        <f t="shared" si="8"/>
        <v>979.26773041718707</v>
      </c>
      <c r="G15" s="662" t="s">
        <v>218</v>
      </c>
      <c r="H15" s="709">
        <v>0</v>
      </c>
      <c r="I15" s="710">
        <v>0</v>
      </c>
      <c r="J15" s="710">
        <v>0</v>
      </c>
      <c r="K15" s="710">
        <v>0</v>
      </c>
      <c r="L15" s="710">
        <v>0</v>
      </c>
      <c r="M15" s="710">
        <v>1</v>
      </c>
      <c r="N15" s="326">
        <v>1</v>
      </c>
      <c r="O15" s="738">
        <v>1</v>
      </c>
      <c r="P15" s="711"/>
      <c r="Q15" s="710">
        <v>0</v>
      </c>
      <c r="R15" s="710">
        <v>0</v>
      </c>
      <c r="S15" s="712">
        <v>0</v>
      </c>
      <c r="T15" s="713"/>
      <c r="U15" s="714"/>
      <c r="V15" s="715"/>
      <c r="W15" s="715"/>
      <c r="X15" s="715"/>
      <c r="Y15" s="715"/>
      <c r="Z15" s="327">
        <v>0.91439999999999999</v>
      </c>
      <c r="AA15" s="327">
        <v>0.10630000000000001</v>
      </c>
      <c r="AB15" s="716">
        <v>4.2864659999999999</v>
      </c>
      <c r="AC15" s="717"/>
      <c r="AD15" s="715"/>
      <c r="AE15" s="715"/>
      <c r="AF15" s="718"/>
      <c r="AG15" s="719"/>
      <c r="AH15" s="720"/>
      <c r="AI15" s="721"/>
      <c r="AJ15" s="721"/>
      <c r="AK15" s="721"/>
      <c r="AL15" s="721"/>
      <c r="AM15" s="722">
        <f t="shared" si="12"/>
        <v>10685.298911810385</v>
      </c>
      <c r="AN15" s="723">
        <f t="shared" si="13"/>
        <v>10685.298911810385</v>
      </c>
      <c r="AO15" s="724">
        <f>TOTAL!K67</f>
        <v>10685.298911810385</v>
      </c>
      <c r="AP15" s="721"/>
      <c r="AQ15" s="721"/>
      <c r="AR15" s="721"/>
      <c r="AS15" s="725"/>
      <c r="AT15" s="721"/>
      <c r="AU15" s="726">
        <f>TOTAL!D67</f>
        <v>10911.519475126828</v>
      </c>
      <c r="AV15" s="727">
        <v>200</v>
      </c>
      <c r="AW15" s="728">
        <v>31</v>
      </c>
      <c r="AX15" s="674">
        <f t="shared" si="7"/>
        <v>6200</v>
      </c>
      <c r="AY15" s="729" t="s">
        <v>281</v>
      </c>
      <c r="AZ15" s="674">
        <f t="shared" si="9"/>
        <v>344.68706167130273</v>
      </c>
      <c r="BA15" s="739"/>
      <c r="BB15" s="731">
        <f t="shared" si="10"/>
        <v>344.68706167130273</v>
      </c>
      <c r="BC15" s="743"/>
      <c r="BD15" s="744"/>
      <c r="BE15" s="744"/>
      <c r="BF15" s="744"/>
      <c r="BG15" s="744"/>
      <c r="BH15" s="744"/>
      <c r="BI15" s="744"/>
      <c r="BJ15" s="744"/>
      <c r="BK15" s="744"/>
      <c r="BL15" s="744"/>
      <c r="BM15" s="744"/>
      <c r="BN15" s="745"/>
      <c r="BO15" s="735"/>
      <c r="BP15" s="736"/>
      <c r="BQ15" s="737"/>
      <c r="BR15" s="737"/>
      <c r="BS15" s="737"/>
      <c r="BT15" s="737"/>
      <c r="BU15" s="737"/>
      <c r="BV15" s="737"/>
      <c r="BW15" s="737"/>
      <c r="BX15" s="737"/>
      <c r="BY15" s="737"/>
    </row>
    <row r="16" spans="1:77" ht="13.5" thickBot="1" x14ac:dyDescent="0.25">
      <c r="A16" s="674" t="s">
        <v>265</v>
      </c>
      <c r="B16" s="303" t="s">
        <v>102</v>
      </c>
      <c r="C16" s="325">
        <v>277</v>
      </c>
      <c r="D16" s="304" t="str">
        <f t="shared" si="16"/>
        <v>01/03/2013 al 31/03/2013</v>
      </c>
      <c r="E16" s="668" t="s">
        <v>258</v>
      </c>
      <c r="F16" s="305">
        <f t="shared" si="8"/>
        <v>978.15327998604755</v>
      </c>
      <c r="G16" s="662" t="s">
        <v>218</v>
      </c>
      <c r="H16" s="709">
        <v>0</v>
      </c>
      <c r="I16" s="710">
        <v>0</v>
      </c>
      <c r="J16" s="710">
        <v>0</v>
      </c>
      <c r="K16" s="710">
        <v>0</v>
      </c>
      <c r="L16" s="710">
        <v>0</v>
      </c>
      <c r="M16" s="710">
        <v>1</v>
      </c>
      <c r="N16" s="326">
        <v>1</v>
      </c>
      <c r="O16" s="738">
        <v>1</v>
      </c>
      <c r="P16" s="711">
        <f t="shared" ref="P16:P20" si="18">IF(AC16&gt;0,1,"")</f>
        <v>1</v>
      </c>
      <c r="Q16" s="710">
        <v>0</v>
      </c>
      <c r="R16" s="710">
        <v>0</v>
      </c>
      <c r="S16" s="712">
        <v>0</v>
      </c>
      <c r="T16" s="713"/>
      <c r="U16" s="714"/>
      <c r="V16" s="715"/>
      <c r="W16" s="715"/>
      <c r="X16" s="715"/>
      <c r="Y16" s="715"/>
      <c r="Z16" s="327">
        <v>0.74419999999999997</v>
      </c>
      <c r="AA16" s="327">
        <v>0.10630000000000001</v>
      </c>
      <c r="AB16" s="716">
        <v>4.2864659999999999</v>
      </c>
      <c r="AC16" s="717">
        <f t="shared" ref="AC16:AC20" si="19">IF(AP16&gt;0,1,"")</f>
        <v>1</v>
      </c>
      <c r="AD16" s="715"/>
      <c r="AE16" s="715"/>
      <c r="AF16" s="718"/>
      <c r="AG16" s="719"/>
      <c r="AH16" s="720"/>
      <c r="AI16" s="721"/>
      <c r="AJ16" s="721"/>
      <c r="AK16" s="721"/>
      <c r="AL16" s="721"/>
      <c r="AM16" s="722">
        <f t="shared" si="12"/>
        <v>7614.5077523415412</v>
      </c>
      <c r="AN16" s="723">
        <f t="shared" si="13"/>
        <v>7614.5077523415412</v>
      </c>
      <c r="AO16" s="724">
        <f>TOTAL!K68</f>
        <v>7614.5077523415412</v>
      </c>
      <c r="AP16" s="721">
        <f t="shared" ref="AP16:AP20" si="20">IF(BA16&gt;0,BA16,"")</f>
        <v>1432.1166880873363</v>
      </c>
      <c r="AQ16" s="721"/>
      <c r="AR16" s="721"/>
      <c r="AS16" s="725"/>
      <c r="AT16" s="721"/>
      <c r="AU16" s="726">
        <f>TOTAL!D68</f>
        <v>7784.5751868768002</v>
      </c>
      <c r="AV16" s="727">
        <v>70</v>
      </c>
      <c r="AW16" s="728">
        <v>31</v>
      </c>
      <c r="AX16" s="674">
        <f t="shared" si="7"/>
        <v>2170</v>
      </c>
      <c r="AY16" s="729" t="s">
        <v>237</v>
      </c>
      <c r="AZ16" s="674">
        <f t="shared" si="9"/>
        <v>245.6292823335981</v>
      </c>
      <c r="BA16" s="739">
        <f>IF(AZ16&gt;AX16,0,((AX16-AZ16)*Z16))</f>
        <v>1432.1166880873363</v>
      </c>
      <c r="BB16" s="731">
        <f t="shared" si="10"/>
        <v>245.6292823335981</v>
      </c>
      <c r="BC16" s="743"/>
      <c r="BD16" s="744"/>
      <c r="BE16" s="744"/>
      <c r="BF16" s="744"/>
      <c r="BG16" s="744"/>
      <c r="BH16" s="744"/>
      <c r="BI16" s="744"/>
      <c r="BJ16" s="744"/>
      <c r="BK16" s="744"/>
      <c r="BL16" s="744"/>
      <c r="BM16" s="744"/>
      <c r="BN16" s="745"/>
      <c r="BO16" s="735"/>
      <c r="BP16" s="736"/>
      <c r="BQ16" s="737"/>
      <c r="BR16" s="737"/>
      <c r="BS16" s="737"/>
      <c r="BT16" s="737"/>
      <c r="BU16" s="737"/>
      <c r="BV16" s="737"/>
      <c r="BW16" s="737"/>
      <c r="BX16" s="737"/>
      <c r="BY16" s="737"/>
    </row>
    <row r="17" spans="1:77" ht="13.5" thickBot="1" x14ac:dyDescent="0.25">
      <c r="A17" s="674" t="s">
        <v>265</v>
      </c>
      <c r="B17" s="303" t="s">
        <v>102</v>
      </c>
      <c r="C17" s="325">
        <v>285</v>
      </c>
      <c r="D17" s="304" t="str">
        <f t="shared" si="16"/>
        <v>01/03/2013 al 31/03/2013</v>
      </c>
      <c r="E17" s="668" t="s">
        <v>272</v>
      </c>
      <c r="F17" s="305">
        <f t="shared" si="8"/>
        <v>978.94554305843121</v>
      </c>
      <c r="G17" s="662" t="s">
        <v>218</v>
      </c>
      <c r="H17" s="709">
        <v>0</v>
      </c>
      <c r="I17" s="710">
        <v>0</v>
      </c>
      <c r="J17" s="710">
        <v>0</v>
      </c>
      <c r="K17" s="710">
        <v>0</v>
      </c>
      <c r="L17" s="710">
        <v>0</v>
      </c>
      <c r="M17" s="710">
        <v>1</v>
      </c>
      <c r="N17" s="326">
        <v>1</v>
      </c>
      <c r="O17" s="738">
        <v>1</v>
      </c>
      <c r="P17" s="711">
        <f t="shared" si="18"/>
        <v>1</v>
      </c>
      <c r="Q17" s="710">
        <v>0</v>
      </c>
      <c r="R17" s="710">
        <v>0</v>
      </c>
      <c r="S17" s="712">
        <v>0</v>
      </c>
      <c r="T17" s="713"/>
      <c r="U17" s="714"/>
      <c r="V17" s="715"/>
      <c r="W17" s="715"/>
      <c r="X17" s="715"/>
      <c r="Y17" s="715"/>
      <c r="Z17" s="327">
        <v>2.8549000000000002</v>
      </c>
      <c r="AA17" s="327">
        <v>0.10630000000000001</v>
      </c>
      <c r="AB17" s="716">
        <v>4.2864659999999999</v>
      </c>
      <c r="AC17" s="717">
        <f t="shared" si="19"/>
        <v>1</v>
      </c>
      <c r="AD17" s="715"/>
      <c r="AE17" s="715"/>
      <c r="AF17" s="718"/>
      <c r="AG17" s="719"/>
      <c r="AH17" s="720"/>
      <c r="AI17" s="721"/>
      <c r="AJ17" s="721"/>
      <c r="AK17" s="721"/>
      <c r="AL17" s="721"/>
      <c r="AM17" s="722">
        <f t="shared" si="12"/>
        <v>2257.4590276072418</v>
      </c>
      <c r="AN17" s="723">
        <f t="shared" si="13"/>
        <v>2257.4590276072418</v>
      </c>
      <c r="AO17" s="724">
        <f>TOTAL!K69</f>
        <v>2257.4590276072418</v>
      </c>
      <c r="AP17" s="721" t="str">
        <f t="shared" si="20"/>
        <v/>
      </c>
      <c r="AQ17" s="721"/>
      <c r="AR17" s="721"/>
      <c r="AS17" s="725"/>
      <c r="AT17" s="721"/>
      <c r="AU17" s="726">
        <f>TOTAL!D69</f>
        <v>2306.0108334059792</v>
      </c>
      <c r="AV17" s="727">
        <v>0</v>
      </c>
      <c r="AW17" s="728">
        <v>31</v>
      </c>
      <c r="AX17" s="674">
        <f t="shared" si="7"/>
        <v>0</v>
      </c>
      <c r="AY17" s="729" t="s">
        <v>237</v>
      </c>
      <c r="AZ17" s="674">
        <f t="shared" si="9"/>
        <v>72.82125895507231</v>
      </c>
      <c r="BA17" s="739">
        <f>IF(AZ17&gt;AX17,0,((AX17-AZ17)*Z17))</f>
        <v>0</v>
      </c>
      <c r="BB17" s="731">
        <f t="shared" si="10"/>
        <v>72.82125895507231</v>
      </c>
      <c r="BC17" s="743"/>
      <c r="BD17" s="744"/>
      <c r="BE17" s="744"/>
      <c r="BF17" s="744"/>
      <c r="BG17" s="744"/>
      <c r="BH17" s="744"/>
      <c r="BI17" s="744"/>
      <c r="BJ17" s="744"/>
      <c r="BK17" s="744"/>
      <c r="BL17" s="744"/>
      <c r="BM17" s="744"/>
      <c r="BN17" s="745"/>
      <c r="BO17" s="735"/>
      <c r="BP17" s="736"/>
      <c r="BQ17" s="737"/>
      <c r="BR17" s="737"/>
      <c r="BS17" s="737"/>
      <c r="BT17" s="737"/>
      <c r="BU17" s="737"/>
      <c r="BV17" s="737"/>
      <c r="BW17" s="737"/>
      <c r="BX17" s="737"/>
      <c r="BY17" s="737"/>
    </row>
    <row r="18" spans="1:77" ht="13.5" thickBot="1" x14ac:dyDescent="0.25">
      <c r="A18" s="674" t="s">
        <v>265</v>
      </c>
      <c r="B18" s="303" t="s">
        <v>102</v>
      </c>
      <c r="C18" s="325">
        <v>303</v>
      </c>
      <c r="D18" s="304" t="str">
        <f t="shared" si="16"/>
        <v>01/03/2013 al 31/03/2013</v>
      </c>
      <c r="E18" s="668" t="s">
        <v>274</v>
      </c>
      <c r="F18" s="305">
        <f t="shared" si="8"/>
        <v>978.36269254325157</v>
      </c>
      <c r="G18" s="662" t="s">
        <v>218</v>
      </c>
      <c r="H18" s="709">
        <v>0</v>
      </c>
      <c r="I18" s="710">
        <v>0</v>
      </c>
      <c r="J18" s="710">
        <v>0</v>
      </c>
      <c r="K18" s="710">
        <v>0</v>
      </c>
      <c r="L18" s="710">
        <v>0</v>
      </c>
      <c r="M18" s="710">
        <v>1</v>
      </c>
      <c r="N18" s="326">
        <v>1</v>
      </c>
      <c r="O18" s="738">
        <v>1</v>
      </c>
      <c r="P18" s="711">
        <f t="shared" si="18"/>
        <v>1</v>
      </c>
      <c r="Q18" s="710">
        <v>0</v>
      </c>
      <c r="R18" s="710">
        <v>0</v>
      </c>
      <c r="S18" s="712">
        <v>0</v>
      </c>
      <c r="T18" s="713"/>
      <c r="U18" s="714"/>
      <c r="V18" s="715"/>
      <c r="W18" s="715"/>
      <c r="X18" s="715"/>
      <c r="Y18" s="715"/>
      <c r="Z18" s="327">
        <v>3.2682000000000002</v>
      </c>
      <c r="AA18" s="327">
        <v>0.1048</v>
      </c>
      <c r="AB18" s="716">
        <v>4.2864659999999999</v>
      </c>
      <c r="AC18" s="717">
        <f t="shared" si="19"/>
        <v>1</v>
      </c>
      <c r="AD18" s="715"/>
      <c r="AE18" s="715"/>
      <c r="AF18" s="718"/>
      <c r="AG18" s="719"/>
      <c r="AH18" s="720"/>
      <c r="AI18" s="721"/>
      <c r="AJ18" s="721"/>
      <c r="AK18" s="721"/>
      <c r="AL18" s="721"/>
      <c r="AM18" s="722">
        <f t="shared" si="12"/>
        <v>247.86506521305054</v>
      </c>
      <c r="AN18" s="723">
        <f t="shared" si="13"/>
        <v>247.86506521305054</v>
      </c>
      <c r="AO18" s="724">
        <f>TOTAL!K70</f>
        <v>247.86506521305054</v>
      </c>
      <c r="AP18" s="721">
        <f t="shared" si="20"/>
        <v>7572.4336256087336</v>
      </c>
      <c r="AQ18" s="721"/>
      <c r="AR18" s="721"/>
      <c r="AS18" s="725"/>
      <c r="AT18" s="721"/>
      <c r="AU18" s="726">
        <f>TOTAL!D70</f>
        <v>253.3468079907318</v>
      </c>
      <c r="AV18" s="727">
        <v>75</v>
      </c>
      <c r="AW18" s="728">
        <v>31</v>
      </c>
      <c r="AX18" s="674">
        <f t="shared" si="7"/>
        <v>2325</v>
      </c>
      <c r="AY18" s="729" t="s">
        <v>237</v>
      </c>
      <c r="AZ18" s="674">
        <f t="shared" si="9"/>
        <v>7.995647264937114</v>
      </c>
      <c r="BA18" s="739">
        <f>IF(AZ18&gt;AX18,0,((AX18-AZ18)*Z18))</f>
        <v>7572.4336256087336</v>
      </c>
      <c r="BB18" s="731">
        <f t="shared" si="10"/>
        <v>7.995647264937114</v>
      </c>
      <c r="BC18" s="743"/>
      <c r="BD18" s="744"/>
      <c r="BE18" s="744"/>
      <c r="BF18" s="744"/>
      <c r="BG18" s="744"/>
      <c r="BH18" s="744"/>
      <c r="BI18" s="744"/>
      <c r="BJ18" s="744"/>
      <c r="BK18" s="744"/>
      <c r="BL18" s="744"/>
      <c r="BM18" s="744"/>
      <c r="BN18" s="745"/>
      <c r="BO18" s="735"/>
      <c r="BP18" s="736"/>
      <c r="BQ18" s="737"/>
      <c r="BR18" s="737"/>
      <c r="BS18" s="737"/>
      <c r="BT18" s="737"/>
      <c r="BU18" s="737"/>
      <c r="BV18" s="737"/>
      <c r="BW18" s="737"/>
      <c r="BX18" s="737"/>
      <c r="BY18" s="737"/>
    </row>
    <row r="19" spans="1:77" ht="13.5" thickBot="1" x14ac:dyDescent="0.25">
      <c r="A19" s="674" t="s">
        <v>265</v>
      </c>
      <c r="B19" s="303" t="s">
        <v>102</v>
      </c>
      <c r="C19" s="325">
        <v>305</v>
      </c>
      <c r="D19" s="304" t="str">
        <f t="shared" si="16"/>
        <v>01/03/2013 al 31/03/2013</v>
      </c>
      <c r="E19" s="668" t="s">
        <v>273</v>
      </c>
      <c r="F19" s="305">
        <f t="shared" si="8"/>
        <v>978.29390611828956</v>
      </c>
      <c r="G19" s="662" t="s">
        <v>218</v>
      </c>
      <c r="H19" s="709">
        <v>0</v>
      </c>
      <c r="I19" s="710">
        <v>0</v>
      </c>
      <c r="J19" s="710">
        <v>0</v>
      </c>
      <c r="K19" s="710">
        <v>0</v>
      </c>
      <c r="L19" s="710">
        <v>0</v>
      </c>
      <c r="M19" s="710">
        <v>1</v>
      </c>
      <c r="N19" s="326">
        <v>1</v>
      </c>
      <c r="O19" s="738">
        <v>1</v>
      </c>
      <c r="P19" s="711">
        <f t="shared" si="18"/>
        <v>1</v>
      </c>
      <c r="Q19" s="710">
        <v>0</v>
      </c>
      <c r="R19" s="710">
        <v>0</v>
      </c>
      <c r="S19" s="712">
        <v>0</v>
      </c>
      <c r="T19" s="713"/>
      <c r="U19" s="714"/>
      <c r="V19" s="715"/>
      <c r="W19" s="715"/>
      <c r="X19" s="715"/>
      <c r="Y19" s="715"/>
      <c r="Z19" s="327">
        <v>3.6453000000000002</v>
      </c>
      <c r="AA19" s="327">
        <v>0.1048</v>
      </c>
      <c r="AB19" s="716">
        <v>4.2864659999999999</v>
      </c>
      <c r="AC19" s="717">
        <f t="shared" si="19"/>
        <v>1</v>
      </c>
      <c r="AD19" s="715"/>
      <c r="AE19" s="715"/>
      <c r="AF19" s="718"/>
      <c r="AG19" s="719"/>
      <c r="AH19" s="720"/>
      <c r="AI19" s="721"/>
      <c r="AJ19" s="721"/>
      <c r="AK19" s="721"/>
      <c r="AL19" s="721"/>
      <c r="AM19" s="722">
        <f t="shared" si="12"/>
        <v>938.70592652898131</v>
      </c>
      <c r="AN19" s="723">
        <f t="shared" si="13"/>
        <v>938.70592652898131</v>
      </c>
      <c r="AO19" s="724">
        <f>TOTAL!K71</f>
        <v>938.70592652898131</v>
      </c>
      <c r="AP19" s="721">
        <f t="shared" si="20"/>
        <v>5539.8322672910936</v>
      </c>
      <c r="AQ19" s="721"/>
      <c r="AR19" s="721"/>
      <c r="AS19" s="725"/>
      <c r="AT19" s="721"/>
      <c r="AU19" s="726">
        <f>TOTAL!D71</f>
        <v>959.5336541077038</v>
      </c>
      <c r="AV19" s="727">
        <v>50</v>
      </c>
      <c r="AW19" s="728">
        <v>31</v>
      </c>
      <c r="AX19" s="674">
        <f t="shared" si="7"/>
        <v>1550</v>
      </c>
      <c r="AY19" s="729" t="s">
        <v>237</v>
      </c>
      <c r="AZ19" s="674">
        <f t="shared" si="9"/>
        <v>30.280836339644559</v>
      </c>
      <c r="BA19" s="739">
        <f>IF(AZ19&gt;AX19,0,((AX19-AZ19)*Z19))</f>
        <v>5539.8322672910936</v>
      </c>
      <c r="BB19" s="731">
        <f t="shared" si="10"/>
        <v>30.280836339644559</v>
      </c>
      <c r="BC19" s="743"/>
      <c r="BD19" s="744"/>
      <c r="BE19" s="744"/>
      <c r="BF19" s="744"/>
      <c r="BG19" s="744"/>
      <c r="BH19" s="744"/>
      <c r="BI19" s="744"/>
      <c r="BJ19" s="744"/>
      <c r="BK19" s="744"/>
      <c r="BL19" s="744"/>
      <c r="BM19" s="744"/>
      <c r="BN19" s="745"/>
      <c r="BO19" s="735"/>
      <c r="BP19" s="736"/>
      <c r="BQ19" s="737"/>
      <c r="BR19" s="737"/>
      <c r="BS19" s="737"/>
      <c r="BT19" s="737"/>
      <c r="BU19" s="737"/>
      <c r="BV19" s="737"/>
      <c r="BW19" s="737"/>
      <c r="BX19" s="737"/>
      <c r="BY19" s="737"/>
    </row>
    <row r="20" spans="1:77" ht="13.5" thickBot="1" x14ac:dyDescent="0.25">
      <c r="A20" s="674" t="s">
        <v>265</v>
      </c>
      <c r="B20" s="303" t="s">
        <v>102</v>
      </c>
      <c r="C20" s="325">
        <v>307</v>
      </c>
      <c r="D20" s="304" t="str">
        <f t="shared" si="16"/>
        <v>01/03/2013 al 31/03/2013</v>
      </c>
      <c r="E20" s="668" t="s">
        <v>275</v>
      </c>
      <c r="F20" s="305">
        <f t="shared" si="8"/>
        <v>979.01059595480626</v>
      </c>
      <c r="G20" s="662" t="s">
        <v>218</v>
      </c>
      <c r="H20" s="709">
        <v>0</v>
      </c>
      <c r="I20" s="710">
        <v>0</v>
      </c>
      <c r="J20" s="710">
        <v>0</v>
      </c>
      <c r="K20" s="710">
        <v>0</v>
      </c>
      <c r="L20" s="710">
        <v>0</v>
      </c>
      <c r="M20" s="710">
        <v>1</v>
      </c>
      <c r="N20" s="326">
        <v>1</v>
      </c>
      <c r="O20" s="738">
        <v>1</v>
      </c>
      <c r="P20" s="711">
        <f t="shared" si="18"/>
        <v>1</v>
      </c>
      <c r="Q20" s="710">
        <v>0</v>
      </c>
      <c r="R20" s="710">
        <v>0</v>
      </c>
      <c r="S20" s="712">
        <v>0</v>
      </c>
      <c r="T20" s="713"/>
      <c r="U20" s="714"/>
      <c r="V20" s="715"/>
      <c r="W20" s="715"/>
      <c r="X20" s="715"/>
      <c r="Y20" s="715"/>
      <c r="Z20" s="327">
        <v>1.3303</v>
      </c>
      <c r="AA20" s="327">
        <v>0.1048</v>
      </c>
      <c r="AB20" s="716">
        <v>4.2864659999999999</v>
      </c>
      <c r="AC20" s="717">
        <f t="shared" si="19"/>
        <v>1</v>
      </c>
      <c r="AD20" s="715"/>
      <c r="AE20" s="715"/>
      <c r="AF20" s="718"/>
      <c r="AG20" s="719"/>
      <c r="AH20" s="720"/>
      <c r="AI20" s="721"/>
      <c r="AJ20" s="721"/>
      <c r="AK20" s="721"/>
      <c r="AL20" s="721"/>
      <c r="AM20" s="722">
        <f t="shared" si="12"/>
        <v>6127.9399672956097</v>
      </c>
      <c r="AN20" s="723">
        <f t="shared" si="13"/>
        <v>6127.9399672956097</v>
      </c>
      <c r="AO20" s="724">
        <f>TOTAL!K72</f>
        <v>6127.9399672956097</v>
      </c>
      <c r="AP20" s="721">
        <f t="shared" si="20"/>
        <v>2829.9798052098922</v>
      </c>
      <c r="AQ20" s="721"/>
      <c r="AR20" s="721"/>
      <c r="AS20" s="725"/>
      <c r="AT20" s="721"/>
      <c r="AU20" s="726">
        <f>TOTAL!D72</f>
        <v>6259.3193501845326</v>
      </c>
      <c r="AV20" s="727">
        <v>75</v>
      </c>
      <c r="AW20" s="728">
        <v>31</v>
      </c>
      <c r="AX20" s="674">
        <f t="shared" si="7"/>
        <v>2325</v>
      </c>
      <c r="AY20" s="729" t="s">
        <v>237</v>
      </c>
      <c r="AZ20" s="674">
        <f t="shared" si="9"/>
        <v>197.67548281598741</v>
      </c>
      <c r="BA20" s="739">
        <f>IF(AZ20&gt;AX20,0,((AX20-AZ20)*Z20))</f>
        <v>2829.9798052098922</v>
      </c>
      <c r="BB20" s="731">
        <f t="shared" si="10"/>
        <v>197.67548281598741</v>
      </c>
      <c r="BC20" s="743"/>
      <c r="BD20" s="744"/>
      <c r="BE20" s="744"/>
      <c r="BF20" s="744"/>
      <c r="BG20" s="744"/>
      <c r="BH20" s="744"/>
      <c r="BI20" s="744"/>
      <c r="BJ20" s="744"/>
      <c r="BK20" s="744"/>
      <c r="BL20" s="744"/>
      <c r="BM20" s="744"/>
      <c r="BN20" s="745"/>
      <c r="BO20" s="735"/>
      <c r="BP20" s="736"/>
      <c r="BQ20" s="737"/>
      <c r="BR20" s="737"/>
      <c r="BS20" s="737"/>
      <c r="BT20" s="737"/>
      <c r="BU20" s="737"/>
      <c r="BV20" s="737"/>
      <c r="BW20" s="737"/>
      <c r="BX20" s="737"/>
      <c r="BY20" s="737"/>
    </row>
    <row r="21" spans="1:77" ht="13.5" thickBot="1" x14ac:dyDescent="0.25">
      <c r="A21" s="674" t="s">
        <v>265</v>
      </c>
      <c r="B21" s="303" t="s">
        <v>102</v>
      </c>
      <c r="C21" s="325">
        <v>320</v>
      </c>
      <c r="D21" s="304" t="str">
        <f t="shared" si="16"/>
        <v>01/03/2013 al 31/03/2013</v>
      </c>
      <c r="E21" s="668" t="s">
        <v>276</v>
      </c>
      <c r="F21" s="305">
        <f t="shared" si="8"/>
        <v>977.82032690544042</v>
      </c>
      <c r="G21" s="662" t="s">
        <v>218</v>
      </c>
      <c r="H21" s="709">
        <v>0</v>
      </c>
      <c r="I21" s="710">
        <v>0</v>
      </c>
      <c r="J21" s="710">
        <v>0</v>
      </c>
      <c r="K21" s="710">
        <v>0</v>
      </c>
      <c r="L21" s="710">
        <v>0</v>
      </c>
      <c r="M21" s="710">
        <v>1</v>
      </c>
      <c r="N21" s="326">
        <v>1</v>
      </c>
      <c r="O21" s="738">
        <v>1</v>
      </c>
      <c r="P21" s="711"/>
      <c r="Q21" s="710">
        <v>0</v>
      </c>
      <c r="R21" s="710">
        <v>0</v>
      </c>
      <c r="S21" s="712">
        <v>0</v>
      </c>
      <c r="T21" s="713"/>
      <c r="U21" s="714"/>
      <c r="V21" s="715"/>
      <c r="W21" s="715"/>
      <c r="X21" s="715"/>
      <c r="Y21" s="715"/>
      <c r="Z21" s="327">
        <v>1.0794999999999999</v>
      </c>
      <c r="AA21" s="327">
        <v>0.1017</v>
      </c>
      <c r="AB21" s="716">
        <v>4.2864659999999999</v>
      </c>
      <c r="AC21" s="717"/>
      <c r="AD21" s="715"/>
      <c r="AE21" s="715"/>
      <c r="AF21" s="718"/>
      <c r="AG21" s="719"/>
      <c r="AH21" s="720"/>
      <c r="AI21" s="721"/>
      <c r="AJ21" s="721"/>
      <c r="AK21" s="721"/>
      <c r="AL21" s="721"/>
      <c r="AM21" s="722">
        <f t="shared" si="12"/>
        <v>3492.0237713044612</v>
      </c>
      <c r="AN21" s="723">
        <f t="shared" si="13"/>
        <v>3492.0237713044612</v>
      </c>
      <c r="AO21" s="724">
        <f>TOTAL!K73</f>
        <v>3492.0237713044612</v>
      </c>
      <c r="AP21" s="721"/>
      <c r="AQ21" s="721"/>
      <c r="AR21" s="721"/>
      <c r="AS21" s="725"/>
      <c r="AT21" s="721"/>
      <c r="AU21" s="726">
        <f>TOTAL!D73</f>
        <v>3571.232541622297</v>
      </c>
      <c r="AV21" s="727">
        <v>150</v>
      </c>
      <c r="AW21" s="728">
        <v>31</v>
      </c>
      <c r="AX21" s="674">
        <f t="shared" si="7"/>
        <v>4650</v>
      </c>
      <c r="AY21" s="729"/>
      <c r="AZ21" s="674">
        <f t="shared" si="9"/>
        <v>112.64592810659552</v>
      </c>
      <c r="BA21" s="739"/>
      <c r="BB21" s="731">
        <f t="shared" si="10"/>
        <v>112.64592810659552</v>
      </c>
      <c r="BC21" s="743"/>
      <c r="BD21" s="744"/>
      <c r="BE21" s="744"/>
      <c r="BF21" s="744"/>
      <c r="BG21" s="744"/>
      <c r="BH21" s="744"/>
      <c r="BI21" s="744"/>
      <c r="BJ21" s="744"/>
      <c r="BK21" s="744"/>
      <c r="BL21" s="744"/>
      <c r="BM21" s="744"/>
      <c r="BN21" s="745"/>
      <c r="BO21" s="735"/>
      <c r="BP21" s="736"/>
      <c r="BQ21" s="737"/>
      <c r="BR21" s="737"/>
      <c r="BS21" s="737"/>
      <c r="BT21" s="737"/>
      <c r="BU21" s="737"/>
      <c r="BV21" s="737"/>
      <c r="BW21" s="737"/>
      <c r="BX21" s="737"/>
      <c r="BY21" s="737"/>
    </row>
    <row r="22" spans="1:77" ht="13.5" hidden="1" thickBot="1" x14ac:dyDescent="0.25">
      <c r="A22" s="674"/>
      <c r="B22" s="303"/>
      <c r="C22" s="325"/>
      <c r="D22" s="304" t="str">
        <f t="shared" si="16"/>
        <v>01/03/2013 al 31/03/2013</v>
      </c>
      <c r="E22" s="668" t="s">
        <v>219</v>
      </c>
      <c r="F22" s="305" t="e">
        <f t="shared" si="8"/>
        <v>#DIV/0!</v>
      </c>
      <c r="G22" s="662" t="s">
        <v>218</v>
      </c>
      <c r="H22" s="306"/>
      <c r="I22" s="307"/>
      <c r="J22" s="307"/>
      <c r="K22" s="307"/>
      <c r="L22" s="307"/>
      <c r="M22" s="307"/>
      <c r="N22" s="326"/>
      <c r="O22" s="308"/>
      <c r="P22" s="322"/>
      <c r="Q22" s="307"/>
      <c r="R22" s="307"/>
      <c r="S22" s="663"/>
      <c r="T22" s="309"/>
      <c r="U22" s="310"/>
      <c r="V22" s="311"/>
      <c r="W22" s="311"/>
      <c r="X22" s="311"/>
      <c r="Y22" s="311"/>
      <c r="Z22" s="312"/>
      <c r="AA22" s="327"/>
      <c r="AB22" s="313"/>
      <c r="AC22" s="314"/>
      <c r="AD22" s="311"/>
      <c r="AE22" s="311"/>
      <c r="AF22" s="315"/>
      <c r="AG22" s="664"/>
      <c r="AH22" s="316"/>
      <c r="AI22" s="317"/>
      <c r="AJ22" s="317"/>
      <c r="AK22" s="317"/>
      <c r="AL22" s="317"/>
      <c r="AM22" s="318">
        <f t="shared" ref="AM22:AM37" si="21">AO22</f>
        <v>0</v>
      </c>
      <c r="AN22" s="319">
        <f t="shared" ref="AN22:AN37" si="22">AO22</f>
        <v>0</v>
      </c>
      <c r="AO22" s="347">
        <f>TOTAL!K74</f>
        <v>0</v>
      </c>
      <c r="AP22" s="317"/>
      <c r="AQ22" s="317"/>
      <c r="AR22" s="317"/>
      <c r="AS22" s="661"/>
      <c r="AT22" s="317"/>
      <c r="AU22" s="434">
        <f>TOTAL!D74</f>
        <v>0</v>
      </c>
      <c r="AV22" s="320"/>
      <c r="AW22" s="323"/>
      <c r="AX22" s="302">
        <f t="shared" si="7"/>
        <v>0</v>
      </c>
      <c r="AY22" s="321"/>
      <c r="AZ22" s="302" t="e">
        <f t="shared" si="9"/>
        <v>#DIV/0!</v>
      </c>
      <c r="BA22" s="324"/>
      <c r="BB22" s="466" t="e">
        <f t="shared" si="10"/>
        <v>#DIV/0!</v>
      </c>
      <c r="BC22" s="328"/>
      <c r="BD22" s="329"/>
      <c r="BE22" s="329"/>
      <c r="BF22" s="329"/>
      <c r="BG22" s="329"/>
      <c r="BH22" s="329"/>
      <c r="BI22" s="329"/>
      <c r="BJ22" s="329"/>
      <c r="BK22" s="329"/>
      <c r="BL22" s="329"/>
      <c r="BM22" s="329"/>
      <c r="BN22" s="330"/>
      <c r="BO22" s="456"/>
      <c r="BP22" s="457"/>
    </row>
    <row r="23" spans="1:77" ht="13.5" hidden="1" thickBot="1" x14ac:dyDescent="0.25">
      <c r="A23" s="302"/>
      <c r="B23" s="303"/>
      <c r="C23" s="325"/>
      <c r="D23" s="304" t="str">
        <f t="shared" si="16"/>
        <v>01/03/2013 al 31/03/2013</v>
      </c>
      <c r="E23" s="668" t="s">
        <v>220</v>
      </c>
      <c r="F23" s="305" t="e">
        <f t="shared" si="8"/>
        <v>#DIV/0!</v>
      </c>
      <c r="G23" s="662" t="s">
        <v>218</v>
      </c>
      <c r="H23" s="306"/>
      <c r="I23" s="307"/>
      <c r="J23" s="307"/>
      <c r="K23" s="307"/>
      <c r="L23" s="307"/>
      <c r="M23" s="307"/>
      <c r="N23" s="326"/>
      <c r="O23" s="308"/>
      <c r="P23" s="322"/>
      <c r="Q23" s="307"/>
      <c r="R23" s="307"/>
      <c r="S23" s="663"/>
      <c r="T23" s="309"/>
      <c r="U23" s="310"/>
      <c r="V23" s="311"/>
      <c r="W23" s="311"/>
      <c r="X23" s="311"/>
      <c r="Y23" s="311"/>
      <c r="Z23" s="312"/>
      <c r="AA23" s="327"/>
      <c r="AB23" s="313"/>
      <c r="AC23" s="314"/>
      <c r="AD23" s="311"/>
      <c r="AE23" s="311"/>
      <c r="AF23" s="315"/>
      <c r="AG23" s="664"/>
      <c r="AH23" s="316"/>
      <c r="AI23" s="317"/>
      <c r="AJ23" s="317"/>
      <c r="AK23" s="317"/>
      <c r="AL23" s="317"/>
      <c r="AM23" s="318">
        <f t="shared" si="21"/>
        <v>0</v>
      </c>
      <c r="AN23" s="319">
        <f t="shared" si="22"/>
        <v>0</v>
      </c>
      <c r="AO23" s="347">
        <f>TOTAL!K75</f>
        <v>0</v>
      </c>
      <c r="AP23" s="317"/>
      <c r="AQ23" s="317"/>
      <c r="AR23" s="317"/>
      <c r="AS23" s="661"/>
      <c r="AT23" s="317"/>
      <c r="AU23" s="434">
        <f>TOTAL!D75</f>
        <v>0</v>
      </c>
      <c r="AV23" s="320"/>
      <c r="AW23" s="323"/>
      <c r="AX23" s="302">
        <f t="shared" si="7"/>
        <v>0</v>
      </c>
      <c r="AY23" s="321"/>
      <c r="AZ23" s="302" t="e">
        <f t="shared" si="9"/>
        <v>#DIV/0!</v>
      </c>
      <c r="BA23" s="324"/>
      <c r="BB23" s="466" t="e">
        <f t="shared" si="10"/>
        <v>#DIV/0!</v>
      </c>
      <c r="BC23" s="328"/>
      <c r="BD23" s="329"/>
      <c r="BE23" s="329"/>
      <c r="BF23" s="329"/>
      <c r="BG23" s="329"/>
      <c r="BH23" s="329"/>
      <c r="BI23" s="329"/>
      <c r="BJ23" s="329"/>
      <c r="BK23" s="329"/>
      <c r="BL23" s="329"/>
      <c r="BM23" s="329"/>
      <c r="BN23" s="330"/>
      <c r="BO23" s="456"/>
      <c r="BP23" s="457"/>
    </row>
    <row r="24" spans="1:77" ht="13.5" hidden="1" thickBot="1" x14ac:dyDescent="0.25">
      <c r="A24" s="302"/>
      <c r="B24" s="303"/>
      <c r="C24" s="325"/>
      <c r="D24" s="304" t="str">
        <f t="shared" si="16"/>
        <v>01/03/2013 al 31/03/2013</v>
      </c>
      <c r="E24" s="668" t="s">
        <v>221</v>
      </c>
      <c r="F24" s="305" t="e">
        <f t="shared" si="8"/>
        <v>#DIV/0!</v>
      </c>
      <c r="G24" s="662" t="s">
        <v>218</v>
      </c>
      <c r="H24" s="306"/>
      <c r="I24" s="307"/>
      <c r="J24" s="307"/>
      <c r="K24" s="307"/>
      <c r="L24" s="307"/>
      <c r="M24" s="307"/>
      <c r="N24" s="326"/>
      <c r="O24" s="308"/>
      <c r="P24" s="322"/>
      <c r="Q24" s="307"/>
      <c r="R24" s="307"/>
      <c r="S24" s="663"/>
      <c r="T24" s="309"/>
      <c r="U24" s="310"/>
      <c r="V24" s="311"/>
      <c r="W24" s="311"/>
      <c r="X24" s="311"/>
      <c r="Y24" s="311"/>
      <c r="Z24" s="312"/>
      <c r="AA24" s="327"/>
      <c r="AB24" s="313"/>
      <c r="AC24" s="314"/>
      <c r="AD24" s="311"/>
      <c r="AE24" s="311"/>
      <c r="AF24" s="315"/>
      <c r="AG24" s="664"/>
      <c r="AH24" s="316"/>
      <c r="AI24" s="317"/>
      <c r="AJ24" s="317"/>
      <c r="AK24" s="317"/>
      <c r="AL24" s="317"/>
      <c r="AM24" s="318">
        <f t="shared" si="21"/>
        <v>0</v>
      </c>
      <c r="AN24" s="319">
        <f t="shared" si="22"/>
        <v>0</v>
      </c>
      <c r="AO24" s="347">
        <f>TOTAL!K76</f>
        <v>0</v>
      </c>
      <c r="AP24" s="317"/>
      <c r="AQ24" s="317"/>
      <c r="AR24" s="317"/>
      <c r="AS24" s="661"/>
      <c r="AT24" s="317"/>
      <c r="AU24" s="434">
        <f>TOTAL!D76</f>
        <v>0</v>
      </c>
      <c r="AV24" s="320"/>
      <c r="AW24" s="323"/>
      <c r="AX24" s="302">
        <f>AV24*AW24</f>
        <v>0</v>
      </c>
      <c r="AY24" s="321"/>
      <c r="AZ24" s="302" t="e">
        <f t="shared" si="9"/>
        <v>#DIV/0!</v>
      </c>
      <c r="BA24" s="324"/>
      <c r="BB24" s="466" t="e">
        <f>AN24/AW24</f>
        <v>#DIV/0!</v>
      </c>
      <c r="BC24" s="328"/>
      <c r="BD24" s="329"/>
      <c r="BE24" s="329"/>
      <c r="BF24" s="329"/>
      <c r="BG24" s="329"/>
      <c r="BH24" s="329"/>
      <c r="BI24" s="329"/>
      <c r="BJ24" s="329"/>
      <c r="BK24" s="329"/>
      <c r="BL24" s="329"/>
      <c r="BM24" s="329"/>
      <c r="BN24" s="330"/>
      <c r="BO24" s="456"/>
      <c r="BP24" s="457"/>
    </row>
    <row r="25" spans="1:77" ht="13.5" hidden="1" thickBot="1" x14ac:dyDescent="0.25">
      <c r="A25" s="302"/>
      <c r="B25" s="303"/>
      <c r="C25" s="325"/>
      <c r="D25" s="304" t="str">
        <f t="shared" si="16"/>
        <v>01/03/2013 al 31/03/2013</v>
      </c>
      <c r="E25" s="668" t="s">
        <v>222</v>
      </c>
      <c r="F25" s="305" t="e">
        <f t="shared" si="8"/>
        <v>#DIV/0!</v>
      </c>
      <c r="G25" s="662" t="s">
        <v>218</v>
      </c>
      <c r="H25" s="306"/>
      <c r="I25" s="307"/>
      <c r="J25" s="307"/>
      <c r="K25" s="307"/>
      <c r="L25" s="307"/>
      <c r="M25" s="307"/>
      <c r="N25" s="326"/>
      <c r="O25" s="308"/>
      <c r="P25" s="322"/>
      <c r="Q25" s="307"/>
      <c r="R25" s="307"/>
      <c r="S25" s="663"/>
      <c r="T25" s="309"/>
      <c r="U25" s="310"/>
      <c r="V25" s="311"/>
      <c r="W25" s="311"/>
      <c r="X25" s="311"/>
      <c r="Y25" s="311"/>
      <c r="Z25" s="312"/>
      <c r="AA25" s="327"/>
      <c r="AB25" s="313"/>
      <c r="AC25" s="314"/>
      <c r="AD25" s="311"/>
      <c r="AE25" s="311"/>
      <c r="AF25" s="315"/>
      <c r="AG25" s="664"/>
      <c r="AH25" s="316"/>
      <c r="AI25" s="317"/>
      <c r="AJ25" s="317"/>
      <c r="AK25" s="317"/>
      <c r="AL25" s="317"/>
      <c r="AM25" s="318">
        <f t="shared" si="21"/>
        <v>0</v>
      </c>
      <c r="AN25" s="319">
        <f t="shared" si="22"/>
        <v>0</v>
      </c>
      <c r="AO25" s="347">
        <f>TOTAL!K77</f>
        <v>0</v>
      </c>
      <c r="AP25" s="317"/>
      <c r="AQ25" s="317"/>
      <c r="AR25" s="317"/>
      <c r="AS25" s="661"/>
      <c r="AT25" s="317"/>
      <c r="AU25" s="434">
        <f>TOTAL!D77</f>
        <v>0</v>
      </c>
      <c r="AV25" s="320"/>
      <c r="AW25" s="323"/>
      <c r="AX25" s="302">
        <f t="shared" si="7"/>
        <v>0</v>
      </c>
      <c r="AY25" s="321"/>
      <c r="AZ25" s="302" t="e">
        <f t="shared" si="9"/>
        <v>#DIV/0!</v>
      </c>
      <c r="BA25" s="324"/>
      <c r="BB25" s="466" t="e">
        <f t="shared" si="10"/>
        <v>#DIV/0!</v>
      </c>
      <c r="BC25" s="328"/>
      <c r="BD25" s="329"/>
      <c r="BE25" s="329"/>
      <c r="BF25" s="329"/>
      <c r="BG25" s="329"/>
      <c r="BH25" s="329"/>
      <c r="BI25" s="329"/>
      <c r="BJ25" s="329"/>
      <c r="BK25" s="329"/>
      <c r="BL25" s="329"/>
      <c r="BM25" s="329"/>
      <c r="BN25" s="330"/>
      <c r="BO25" s="456"/>
      <c r="BP25" s="457"/>
    </row>
    <row r="26" spans="1:77" ht="13.5" hidden="1" thickBot="1" x14ac:dyDescent="0.25">
      <c r="A26" s="302"/>
      <c r="B26" s="303"/>
      <c r="C26" s="325"/>
      <c r="D26" s="304" t="str">
        <f t="shared" si="16"/>
        <v>01/03/2013 al 31/03/2013</v>
      </c>
      <c r="E26" s="668" t="s">
        <v>223</v>
      </c>
      <c r="F26" s="305" t="e">
        <f t="shared" si="8"/>
        <v>#DIV/0!</v>
      </c>
      <c r="G26" s="662" t="s">
        <v>218</v>
      </c>
      <c r="H26" s="306"/>
      <c r="I26" s="307"/>
      <c r="J26" s="307"/>
      <c r="K26" s="307"/>
      <c r="L26" s="307"/>
      <c r="M26" s="307"/>
      <c r="N26" s="326"/>
      <c r="O26" s="308"/>
      <c r="P26" s="322"/>
      <c r="Q26" s="307"/>
      <c r="R26" s="307"/>
      <c r="S26" s="663"/>
      <c r="T26" s="309"/>
      <c r="U26" s="310"/>
      <c r="V26" s="311"/>
      <c r="W26" s="311"/>
      <c r="X26" s="311"/>
      <c r="Y26" s="311"/>
      <c r="Z26" s="312"/>
      <c r="AA26" s="327"/>
      <c r="AB26" s="313"/>
      <c r="AC26" s="314"/>
      <c r="AD26" s="311"/>
      <c r="AE26" s="311"/>
      <c r="AF26" s="315"/>
      <c r="AG26" s="664"/>
      <c r="AH26" s="316"/>
      <c r="AI26" s="317"/>
      <c r="AJ26" s="317"/>
      <c r="AK26" s="317"/>
      <c r="AL26" s="317"/>
      <c r="AM26" s="318">
        <f t="shared" si="21"/>
        <v>0</v>
      </c>
      <c r="AN26" s="319">
        <f t="shared" si="22"/>
        <v>0</v>
      </c>
      <c r="AO26" s="347">
        <f>TOTAL!K78</f>
        <v>0</v>
      </c>
      <c r="AP26" s="317"/>
      <c r="AQ26" s="317"/>
      <c r="AR26" s="317"/>
      <c r="AS26" s="661"/>
      <c r="AT26" s="317"/>
      <c r="AU26" s="434">
        <f>TOTAL!D78</f>
        <v>0</v>
      </c>
      <c r="AV26" s="320"/>
      <c r="AW26" s="323"/>
      <c r="AX26" s="302">
        <f t="shared" si="7"/>
        <v>0</v>
      </c>
      <c r="AY26" s="321"/>
      <c r="AZ26" s="302" t="e">
        <f t="shared" si="9"/>
        <v>#DIV/0!</v>
      </c>
      <c r="BA26" s="324"/>
      <c r="BB26" s="466" t="e">
        <f t="shared" si="10"/>
        <v>#DIV/0!</v>
      </c>
      <c r="BC26" s="328"/>
      <c r="BD26" s="329"/>
      <c r="BE26" s="329"/>
      <c r="BF26" s="329"/>
      <c r="BG26" s="329"/>
      <c r="BH26" s="329"/>
      <c r="BI26" s="329"/>
      <c r="BJ26" s="329"/>
      <c r="BK26" s="329"/>
      <c r="BL26" s="329"/>
      <c r="BM26" s="329"/>
      <c r="BN26" s="330"/>
      <c r="BO26" s="456"/>
      <c r="BP26" s="457"/>
    </row>
    <row r="27" spans="1:77" ht="13.5" hidden="1" thickBot="1" x14ac:dyDescent="0.25">
      <c r="A27" s="302"/>
      <c r="B27" s="303"/>
      <c r="C27" s="325"/>
      <c r="D27" s="304" t="str">
        <f t="shared" si="16"/>
        <v>01/03/2013 al 31/03/2013</v>
      </c>
      <c r="E27" s="668" t="s">
        <v>224</v>
      </c>
      <c r="F27" s="305" t="e">
        <f t="shared" si="8"/>
        <v>#DIV/0!</v>
      </c>
      <c r="G27" s="662" t="s">
        <v>218</v>
      </c>
      <c r="H27" s="306"/>
      <c r="I27" s="307"/>
      <c r="J27" s="307"/>
      <c r="K27" s="307"/>
      <c r="L27" s="307"/>
      <c r="M27" s="307"/>
      <c r="N27" s="326"/>
      <c r="O27" s="308"/>
      <c r="P27" s="322"/>
      <c r="Q27" s="307"/>
      <c r="R27" s="307"/>
      <c r="S27" s="663"/>
      <c r="T27" s="309"/>
      <c r="U27" s="310"/>
      <c r="V27" s="311"/>
      <c r="W27" s="311"/>
      <c r="X27" s="311"/>
      <c r="Y27" s="311"/>
      <c r="Z27" s="312"/>
      <c r="AA27" s="327"/>
      <c r="AB27" s="313"/>
      <c r="AC27" s="314"/>
      <c r="AD27" s="311"/>
      <c r="AE27" s="311"/>
      <c r="AF27" s="315"/>
      <c r="AG27" s="664"/>
      <c r="AH27" s="316"/>
      <c r="AI27" s="317"/>
      <c r="AJ27" s="317"/>
      <c r="AK27" s="317"/>
      <c r="AL27" s="317"/>
      <c r="AM27" s="318">
        <f t="shared" si="21"/>
        <v>0</v>
      </c>
      <c r="AN27" s="319">
        <f t="shared" si="22"/>
        <v>0</v>
      </c>
      <c r="AO27" s="347">
        <f>TOTAL!K79</f>
        <v>0</v>
      </c>
      <c r="AP27" s="317"/>
      <c r="AQ27" s="317"/>
      <c r="AR27" s="317"/>
      <c r="AS27" s="661"/>
      <c r="AT27" s="317"/>
      <c r="AU27" s="434">
        <f>TOTAL!D79</f>
        <v>0</v>
      </c>
      <c r="AV27" s="320"/>
      <c r="AW27" s="323"/>
      <c r="AX27" s="302">
        <f t="shared" ref="AX27:AX37" si="23">AV27*AW27</f>
        <v>0</v>
      </c>
      <c r="AY27" s="321"/>
      <c r="AZ27" s="302" t="e">
        <f t="shared" ref="AZ27:AZ37" si="24">AM27/AW27</f>
        <v>#DIV/0!</v>
      </c>
      <c r="BA27" s="324"/>
      <c r="BB27" s="466" t="e">
        <f t="shared" ref="BB27:BB37" si="25">AN27/AW27</f>
        <v>#DIV/0!</v>
      </c>
      <c r="BC27" s="328"/>
      <c r="BD27" s="329"/>
      <c r="BE27" s="329"/>
      <c r="BF27" s="329"/>
      <c r="BG27" s="329"/>
      <c r="BH27" s="329"/>
      <c r="BI27" s="329"/>
      <c r="BJ27" s="329"/>
      <c r="BK27" s="329"/>
      <c r="BL27" s="329"/>
      <c r="BM27" s="329"/>
      <c r="BN27" s="330"/>
      <c r="BO27" s="456"/>
      <c r="BP27" s="457"/>
    </row>
    <row r="28" spans="1:77" ht="13.5" hidden="1" thickBot="1" x14ac:dyDescent="0.25">
      <c r="A28" s="302"/>
      <c r="B28" s="303"/>
      <c r="C28" s="325"/>
      <c r="D28" s="304" t="str">
        <f t="shared" si="16"/>
        <v>01/03/2013 al 31/03/2013</v>
      </c>
      <c r="E28" s="668" t="s">
        <v>225</v>
      </c>
      <c r="F28" s="305" t="e">
        <f t="shared" si="8"/>
        <v>#DIV/0!</v>
      </c>
      <c r="G28" s="662" t="s">
        <v>218</v>
      </c>
      <c r="H28" s="306"/>
      <c r="I28" s="307"/>
      <c r="J28" s="307"/>
      <c r="K28" s="307"/>
      <c r="L28" s="307"/>
      <c r="M28" s="307"/>
      <c r="N28" s="326"/>
      <c r="O28" s="308"/>
      <c r="P28" s="322"/>
      <c r="Q28" s="307"/>
      <c r="R28" s="307"/>
      <c r="S28" s="663"/>
      <c r="T28" s="309"/>
      <c r="U28" s="310"/>
      <c r="V28" s="311"/>
      <c r="W28" s="311"/>
      <c r="X28" s="311"/>
      <c r="Y28" s="311"/>
      <c r="Z28" s="312"/>
      <c r="AA28" s="327"/>
      <c r="AB28" s="313"/>
      <c r="AC28" s="314"/>
      <c r="AD28" s="311"/>
      <c r="AE28" s="311"/>
      <c r="AF28" s="315"/>
      <c r="AG28" s="664"/>
      <c r="AH28" s="316"/>
      <c r="AI28" s="317"/>
      <c r="AJ28" s="317"/>
      <c r="AK28" s="317"/>
      <c r="AL28" s="317"/>
      <c r="AM28" s="318">
        <f t="shared" si="21"/>
        <v>0</v>
      </c>
      <c r="AN28" s="319">
        <f t="shared" si="22"/>
        <v>0</v>
      </c>
      <c r="AO28" s="347">
        <f>TOTAL!K80</f>
        <v>0</v>
      </c>
      <c r="AP28" s="317"/>
      <c r="AQ28" s="317"/>
      <c r="AR28" s="317"/>
      <c r="AS28" s="661"/>
      <c r="AT28" s="317"/>
      <c r="AU28" s="434">
        <f>TOTAL!D80</f>
        <v>0</v>
      </c>
      <c r="AV28" s="320"/>
      <c r="AW28" s="323"/>
      <c r="AX28" s="302">
        <f t="shared" si="23"/>
        <v>0</v>
      </c>
      <c r="AY28" s="321"/>
      <c r="AZ28" s="302" t="e">
        <f t="shared" si="24"/>
        <v>#DIV/0!</v>
      </c>
      <c r="BA28" s="324"/>
      <c r="BB28" s="466" t="e">
        <f t="shared" si="25"/>
        <v>#DIV/0!</v>
      </c>
      <c r="BC28" s="328"/>
      <c r="BD28" s="329"/>
      <c r="BE28" s="329"/>
      <c r="BF28" s="329"/>
      <c r="BG28" s="329"/>
      <c r="BH28" s="329"/>
      <c r="BI28" s="329"/>
      <c r="BJ28" s="329"/>
      <c r="BK28" s="329"/>
      <c r="BL28" s="329"/>
      <c r="BM28" s="329"/>
      <c r="BN28" s="330"/>
      <c r="BO28" s="456"/>
      <c r="BP28" s="457"/>
    </row>
    <row r="29" spans="1:77" ht="13.5" hidden="1" thickBot="1" x14ac:dyDescent="0.25">
      <c r="A29" s="302"/>
      <c r="B29" s="303"/>
      <c r="C29" s="325"/>
      <c r="D29" s="304" t="str">
        <f t="shared" si="16"/>
        <v>01/03/2013 al 31/03/2013</v>
      </c>
      <c r="E29" s="668" t="s">
        <v>226</v>
      </c>
      <c r="F29" s="305" t="e">
        <f t="shared" si="8"/>
        <v>#DIV/0!</v>
      </c>
      <c r="G29" s="662" t="s">
        <v>218</v>
      </c>
      <c r="H29" s="306"/>
      <c r="I29" s="307"/>
      <c r="J29" s="307"/>
      <c r="K29" s="307"/>
      <c r="L29" s="307"/>
      <c r="M29" s="307"/>
      <c r="N29" s="326"/>
      <c r="O29" s="308"/>
      <c r="P29" s="322" t="str">
        <f t="shared" ref="P29:P37" si="26">IF(BA29&lt;&gt;0,1,"")</f>
        <v/>
      </c>
      <c r="Q29" s="307"/>
      <c r="R29" s="307"/>
      <c r="S29" s="663"/>
      <c r="T29" s="309"/>
      <c r="U29" s="310"/>
      <c r="V29" s="311"/>
      <c r="W29" s="311"/>
      <c r="X29" s="311"/>
      <c r="Y29" s="311"/>
      <c r="Z29" s="312"/>
      <c r="AA29" s="327"/>
      <c r="AB29" s="313"/>
      <c r="AC29" s="314"/>
      <c r="AD29" s="311"/>
      <c r="AE29" s="311"/>
      <c r="AF29" s="315"/>
      <c r="AG29" s="664"/>
      <c r="AH29" s="316" t="str">
        <f t="shared" ref="AH29:AH37" si="27">IF(IF(H29=1,AM29,0)=0,"",IF(H29=1,AM29,0))</f>
        <v/>
      </c>
      <c r="AI29" s="317" t="str">
        <f t="shared" ref="AI29:AI37" si="28">IF(IF(I29=1,AM29,0)=0,"",IF(I29=1,AM29,0))</f>
        <v/>
      </c>
      <c r="AJ29" s="317" t="str">
        <f t="shared" ref="AJ29:AJ37" si="29">IF(IF(J29=1,AM29,0)=0,"",IF(J29=1,AM29,0))</f>
        <v/>
      </c>
      <c r="AK29" s="317" t="str">
        <f t="shared" ref="AK29:AK37" si="30">IF(IF(K29=1,AM29,0)=0,"",IF(K29=1,AM29,0))</f>
        <v/>
      </c>
      <c r="AL29" s="317"/>
      <c r="AM29" s="318">
        <f t="shared" si="21"/>
        <v>0</v>
      </c>
      <c r="AN29" s="319">
        <f t="shared" si="22"/>
        <v>0</v>
      </c>
      <c r="AO29" s="347">
        <f>TOTAL!K81</f>
        <v>0</v>
      </c>
      <c r="AP29" s="317"/>
      <c r="AQ29" s="317" t="str">
        <f t="shared" ref="AQ29:AQ37" si="31">IF(IF(Q29=1,AM29,0)=0,"",IF(Q29=1,AM29,0))</f>
        <v/>
      </c>
      <c r="AR29" s="317" t="str">
        <f t="shared" ref="AR29:AR37" si="32">IF(IF(R29=1,AM29,0)=0,"",IF(R29=1,AM29,0))</f>
        <v/>
      </c>
      <c r="AS29" s="661" t="str">
        <f t="shared" ref="AS29:AS37" si="33">IF(IF(S29=1,AM29,0)=0,"",IF(S29=1,AM29,0))</f>
        <v/>
      </c>
      <c r="AT29" s="317"/>
      <c r="AU29" s="434">
        <f>TOTAL!D81</f>
        <v>0</v>
      </c>
      <c r="AV29" s="320"/>
      <c r="AW29" s="323"/>
      <c r="AX29" s="302">
        <f t="shared" si="23"/>
        <v>0</v>
      </c>
      <c r="AY29" s="321"/>
      <c r="AZ29" s="302" t="e">
        <f t="shared" si="24"/>
        <v>#DIV/0!</v>
      </c>
      <c r="BA29" s="324"/>
      <c r="BB29" s="466" t="e">
        <f t="shared" si="25"/>
        <v>#DIV/0!</v>
      </c>
      <c r="BC29" s="328"/>
      <c r="BD29" s="329"/>
      <c r="BE29" s="329"/>
      <c r="BF29" s="329"/>
      <c r="BG29" s="329"/>
      <c r="BH29" s="329"/>
      <c r="BI29" s="329"/>
      <c r="BJ29" s="329"/>
      <c r="BK29" s="329"/>
      <c r="BL29" s="329"/>
      <c r="BM29" s="329"/>
      <c r="BN29" s="330"/>
      <c r="BO29" s="456"/>
      <c r="BP29" s="457"/>
    </row>
    <row r="30" spans="1:77" ht="13.5" hidden="1" thickBot="1" x14ac:dyDescent="0.25">
      <c r="A30" s="302"/>
      <c r="B30" s="303"/>
      <c r="C30" s="325"/>
      <c r="D30" s="304" t="str">
        <f t="shared" si="16"/>
        <v>01/03/2013 al 31/03/2013</v>
      </c>
      <c r="E30" s="668" t="s">
        <v>227</v>
      </c>
      <c r="F30" s="305" t="e">
        <f t="shared" si="8"/>
        <v>#DIV/0!</v>
      </c>
      <c r="G30" s="662" t="s">
        <v>218</v>
      </c>
      <c r="H30" s="306"/>
      <c r="I30" s="307"/>
      <c r="J30" s="307"/>
      <c r="K30" s="307"/>
      <c r="L30" s="307"/>
      <c r="M30" s="307"/>
      <c r="N30" s="326"/>
      <c r="O30" s="308"/>
      <c r="P30" s="322" t="str">
        <f>IF(BA30&lt;&gt;0,1,"")</f>
        <v/>
      </c>
      <c r="Q30" s="307"/>
      <c r="R30" s="307"/>
      <c r="S30" s="663"/>
      <c r="T30" s="309"/>
      <c r="U30" s="310"/>
      <c r="V30" s="311"/>
      <c r="W30" s="311"/>
      <c r="X30" s="311"/>
      <c r="Y30" s="311"/>
      <c r="Z30" s="312"/>
      <c r="AA30" s="327"/>
      <c r="AB30" s="313"/>
      <c r="AC30" s="314"/>
      <c r="AD30" s="311"/>
      <c r="AE30" s="311"/>
      <c r="AF30" s="315"/>
      <c r="AG30" s="664"/>
      <c r="AH30" s="316" t="str">
        <f>IF(IF(H30=1,AM30,0)=0,"",IF(H30=1,AM30,0))</f>
        <v/>
      </c>
      <c r="AI30" s="317" t="str">
        <f>IF(IF(I30=1,AM30,0)=0,"",IF(I30=1,AM30,0))</f>
        <v/>
      </c>
      <c r="AJ30" s="317" t="str">
        <f>IF(IF(J30=1,AM30,0)=0,"",IF(J30=1,AM30,0))</f>
        <v/>
      </c>
      <c r="AK30" s="317" t="str">
        <f>IF(IF(K30=1,AM30,0)=0,"",IF(K30=1,AM30,0))</f>
        <v/>
      </c>
      <c r="AL30" s="317"/>
      <c r="AM30" s="318">
        <f t="shared" si="21"/>
        <v>0</v>
      </c>
      <c r="AN30" s="319">
        <f t="shared" si="22"/>
        <v>0</v>
      </c>
      <c r="AO30" s="347">
        <f>TOTAL!K82</f>
        <v>0</v>
      </c>
      <c r="AP30" s="317"/>
      <c r="AQ30" s="317" t="str">
        <f>IF(IF(Q30=1,AM30,0)=0,"",IF(Q30=1,AM30,0))</f>
        <v/>
      </c>
      <c r="AR30" s="317" t="str">
        <f>IF(IF(R30=1,AM30,0)=0,"",IF(R30=1,AM30,0))</f>
        <v/>
      </c>
      <c r="AS30" s="661" t="str">
        <f>IF(IF(S30=1,AM30,0)=0,"",IF(S30=1,AM30,0))</f>
        <v/>
      </c>
      <c r="AT30" s="317"/>
      <c r="AU30" s="434">
        <f>TOTAL!D82</f>
        <v>0</v>
      </c>
      <c r="AV30" s="320"/>
      <c r="AW30" s="323"/>
      <c r="AX30" s="302">
        <f>AV30*AW30</f>
        <v>0</v>
      </c>
      <c r="AY30" s="321"/>
      <c r="AZ30" s="302">
        <f>AM30</f>
        <v>0</v>
      </c>
      <c r="BA30" s="324"/>
      <c r="BB30" s="466" t="e">
        <f>AM30/AW30</f>
        <v>#DIV/0!</v>
      </c>
      <c r="BC30" s="328"/>
      <c r="BD30" s="329"/>
      <c r="BE30" s="329"/>
      <c r="BF30" s="329"/>
      <c r="BG30" s="329"/>
      <c r="BH30" s="329"/>
      <c r="BI30" s="329"/>
      <c r="BJ30" s="329"/>
      <c r="BK30" s="329"/>
      <c r="BL30" s="329"/>
      <c r="BM30" s="329"/>
      <c r="BN30" s="330"/>
      <c r="BO30" s="458"/>
      <c r="BP30" s="459"/>
    </row>
    <row r="31" spans="1:77" ht="13.5" hidden="1" thickBot="1" x14ac:dyDescent="0.25">
      <c r="A31" s="302"/>
      <c r="B31" s="303"/>
      <c r="C31" s="325"/>
      <c r="D31" s="304" t="str">
        <f t="shared" si="16"/>
        <v>01/03/2013 al 31/03/2013</v>
      </c>
      <c r="E31" s="668" t="s">
        <v>228</v>
      </c>
      <c r="F31" s="305" t="e">
        <f t="shared" si="8"/>
        <v>#DIV/0!</v>
      </c>
      <c r="G31" s="662" t="s">
        <v>218</v>
      </c>
      <c r="H31" s="306"/>
      <c r="I31" s="307"/>
      <c r="J31" s="307"/>
      <c r="K31" s="307"/>
      <c r="L31" s="307"/>
      <c r="M31" s="307"/>
      <c r="N31" s="326"/>
      <c r="O31" s="308"/>
      <c r="P31" s="322" t="str">
        <f t="shared" si="26"/>
        <v/>
      </c>
      <c r="Q31" s="307"/>
      <c r="R31" s="307"/>
      <c r="S31" s="663"/>
      <c r="T31" s="309"/>
      <c r="U31" s="310"/>
      <c r="V31" s="311"/>
      <c r="W31" s="311"/>
      <c r="X31" s="311"/>
      <c r="Y31" s="311"/>
      <c r="Z31" s="312"/>
      <c r="AA31" s="327"/>
      <c r="AB31" s="313"/>
      <c r="AC31" s="314"/>
      <c r="AD31" s="311"/>
      <c r="AE31" s="311"/>
      <c r="AF31" s="315"/>
      <c r="AG31" s="664"/>
      <c r="AH31" s="316" t="str">
        <f t="shared" si="27"/>
        <v/>
      </c>
      <c r="AI31" s="317" t="str">
        <f t="shared" si="28"/>
        <v/>
      </c>
      <c r="AJ31" s="317" t="str">
        <f t="shared" si="29"/>
        <v/>
      </c>
      <c r="AK31" s="317" t="str">
        <f t="shared" si="30"/>
        <v/>
      </c>
      <c r="AL31" s="317"/>
      <c r="AM31" s="318">
        <f t="shared" si="21"/>
        <v>0</v>
      </c>
      <c r="AN31" s="319">
        <f t="shared" si="22"/>
        <v>0</v>
      </c>
      <c r="AO31" s="347">
        <f>TOTAL!K83</f>
        <v>0</v>
      </c>
      <c r="AP31" s="317"/>
      <c r="AQ31" s="317" t="str">
        <f t="shared" si="31"/>
        <v/>
      </c>
      <c r="AR31" s="317" t="str">
        <f t="shared" si="32"/>
        <v/>
      </c>
      <c r="AS31" s="661" t="str">
        <f t="shared" si="33"/>
        <v/>
      </c>
      <c r="AT31" s="317"/>
      <c r="AU31" s="434">
        <f>TOTAL!D83</f>
        <v>0</v>
      </c>
      <c r="AV31" s="320"/>
      <c r="AW31" s="323"/>
      <c r="AX31" s="302">
        <f t="shared" si="23"/>
        <v>0</v>
      </c>
      <c r="AY31" s="321"/>
      <c r="AZ31" s="302" t="e">
        <f t="shared" si="24"/>
        <v>#DIV/0!</v>
      </c>
      <c r="BA31" s="324"/>
      <c r="BB31" s="466" t="e">
        <f t="shared" si="25"/>
        <v>#DIV/0!</v>
      </c>
      <c r="BC31" s="328"/>
      <c r="BD31" s="329"/>
      <c r="BE31" s="329"/>
      <c r="BF31" s="329"/>
      <c r="BG31" s="329"/>
      <c r="BH31" s="329"/>
      <c r="BI31" s="329"/>
      <c r="BJ31" s="329"/>
      <c r="BK31" s="329"/>
      <c r="BL31" s="329"/>
      <c r="BM31" s="329"/>
      <c r="BN31" s="330"/>
      <c r="BO31" s="456"/>
      <c r="BP31" s="457"/>
    </row>
    <row r="32" spans="1:77" ht="13.5" hidden="1" thickBot="1" x14ac:dyDescent="0.25">
      <c r="A32" s="302"/>
      <c r="B32" s="303"/>
      <c r="C32" s="325"/>
      <c r="D32" s="304" t="str">
        <f t="shared" si="16"/>
        <v>01/03/2013 al 31/03/2013</v>
      </c>
      <c r="E32" s="668" t="s">
        <v>229</v>
      </c>
      <c r="F32" s="305" t="e">
        <f t="shared" si="8"/>
        <v>#DIV/0!</v>
      </c>
      <c r="G32" s="662" t="s">
        <v>218</v>
      </c>
      <c r="H32" s="306"/>
      <c r="I32" s="307"/>
      <c r="J32" s="307"/>
      <c r="K32" s="307"/>
      <c r="L32" s="307"/>
      <c r="M32" s="307"/>
      <c r="N32" s="326"/>
      <c r="O32" s="308"/>
      <c r="P32" s="322" t="str">
        <f t="shared" si="26"/>
        <v/>
      </c>
      <c r="Q32" s="307"/>
      <c r="R32" s="307"/>
      <c r="S32" s="663"/>
      <c r="T32" s="309"/>
      <c r="U32" s="310"/>
      <c r="V32" s="311"/>
      <c r="W32" s="311"/>
      <c r="X32" s="311"/>
      <c r="Y32" s="311"/>
      <c r="Z32" s="312"/>
      <c r="AA32" s="327"/>
      <c r="AB32" s="313"/>
      <c r="AC32" s="314"/>
      <c r="AD32" s="311"/>
      <c r="AE32" s="311"/>
      <c r="AF32" s="315"/>
      <c r="AG32" s="664"/>
      <c r="AH32" s="316" t="str">
        <f t="shared" si="27"/>
        <v/>
      </c>
      <c r="AI32" s="317" t="str">
        <f t="shared" si="28"/>
        <v/>
      </c>
      <c r="AJ32" s="317" t="str">
        <f t="shared" si="29"/>
        <v/>
      </c>
      <c r="AK32" s="317" t="str">
        <f t="shared" si="30"/>
        <v/>
      </c>
      <c r="AL32" s="317"/>
      <c r="AM32" s="318">
        <f t="shared" si="21"/>
        <v>0</v>
      </c>
      <c r="AN32" s="319">
        <f t="shared" si="22"/>
        <v>0</v>
      </c>
      <c r="AO32" s="347">
        <f>TOTAL!K84</f>
        <v>0</v>
      </c>
      <c r="AP32" s="317"/>
      <c r="AQ32" s="317" t="str">
        <f t="shared" si="31"/>
        <v/>
      </c>
      <c r="AR32" s="317" t="str">
        <f t="shared" si="32"/>
        <v/>
      </c>
      <c r="AS32" s="661" t="str">
        <f t="shared" si="33"/>
        <v/>
      </c>
      <c r="AT32" s="317"/>
      <c r="AU32" s="434">
        <f>TOTAL!D84</f>
        <v>0</v>
      </c>
      <c r="AV32" s="320"/>
      <c r="AW32" s="323"/>
      <c r="AX32" s="302">
        <f t="shared" si="23"/>
        <v>0</v>
      </c>
      <c r="AY32" s="321"/>
      <c r="AZ32" s="302" t="e">
        <f t="shared" si="24"/>
        <v>#DIV/0!</v>
      </c>
      <c r="BA32" s="324"/>
      <c r="BB32" s="466" t="e">
        <f t="shared" si="25"/>
        <v>#DIV/0!</v>
      </c>
      <c r="BC32" s="328"/>
      <c r="BD32" s="329"/>
      <c r="BE32" s="329"/>
      <c r="BF32" s="329"/>
      <c r="BG32" s="329"/>
      <c r="BH32" s="329"/>
      <c r="BI32" s="329"/>
      <c r="BJ32" s="329"/>
      <c r="BK32" s="329"/>
      <c r="BL32" s="329"/>
      <c r="BM32" s="329"/>
      <c r="BN32" s="330"/>
      <c r="BO32" s="456"/>
      <c r="BP32" s="457"/>
    </row>
    <row r="33" spans="1:68" ht="13.5" hidden="1" thickBot="1" x14ac:dyDescent="0.25">
      <c r="A33" s="302"/>
      <c r="B33" s="303"/>
      <c r="C33" s="325"/>
      <c r="D33" s="304" t="str">
        <f t="shared" si="16"/>
        <v>01/03/2013 al 31/03/2013</v>
      </c>
      <c r="E33" s="668" t="s">
        <v>230</v>
      </c>
      <c r="F33" s="305" t="e">
        <f t="shared" si="8"/>
        <v>#DIV/0!</v>
      </c>
      <c r="G33" s="662" t="s">
        <v>218</v>
      </c>
      <c r="H33" s="306"/>
      <c r="I33" s="307"/>
      <c r="J33" s="307"/>
      <c r="K33" s="307"/>
      <c r="L33" s="307"/>
      <c r="M33" s="307"/>
      <c r="N33" s="326"/>
      <c r="O33" s="308"/>
      <c r="P33" s="322" t="str">
        <f t="shared" si="26"/>
        <v/>
      </c>
      <c r="Q33" s="307"/>
      <c r="R33" s="307"/>
      <c r="S33" s="663"/>
      <c r="T33" s="309"/>
      <c r="U33" s="310"/>
      <c r="V33" s="311"/>
      <c r="W33" s="311"/>
      <c r="X33" s="311"/>
      <c r="Y33" s="311"/>
      <c r="Z33" s="312"/>
      <c r="AA33" s="327"/>
      <c r="AB33" s="313"/>
      <c r="AC33" s="314"/>
      <c r="AD33" s="311"/>
      <c r="AE33" s="311"/>
      <c r="AF33" s="315"/>
      <c r="AG33" s="664"/>
      <c r="AH33" s="316" t="str">
        <f t="shared" si="27"/>
        <v/>
      </c>
      <c r="AI33" s="317" t="str">
        <f t="shared" si="28"/>
        <v/>
      </c>
      <c r="AJ33" s="317" t="str">
        <f t="shared" si="29"/>
        <v/>
      </c>
      <c r="AK33" s="317" t="str">
        <f t="shared" si="30"/>
        <v/>
      </c>
      <c r="AL33" s="317"/>
      <c r="AM33" s="318">
        <f t="shared" si="21"/>
        <v>0</v>
      </c>
      <c r="AN33" s="319">
        <f t="shared" si="22"/>
        <v>0</v>
      </c>
      <c r="AO33" s="347">
        <f>TOTAL!K85</f>
        <v>0</v>
      </c>
      <c r="AP33" s="317"/>
      <c r="AQ33" s="317" t="str">
        <f t="shared" si="31"/>
        <v/>
      </c>
      <c r="AR33" s="317" t="str">
        <f t="shared" si="32"/>
        <v/>
      </c>
      <c r="AS33" s="661" t="str">
        <f t="shared" si="33"/>
        <v/>
      </c>
      <c r="AT33" s="317"/>
      <c r="AU33" s="434">
        <f>TOTAL!D85</f>
        <v>0</v>
      </c>
      <c r="AV33" s="320"/>
      <c r="AW33" s="323"/>
      <c r="AX33" s="302">
        <f t="shared" si="23"/>
        <v>0</v>
      </c>
      <c r="AY33" s="321"/>
      <c r="AZ33" s="302" t="e">
        <f t="shared" si="24"/>
        <v>#DIV/0!</v>
      </c>
      <c r="BA33" s="324"/>
      <c r="BB33" s="466" t="e">
        <f t="shared" si="25"/>
        <v>#DIV/0!</v>
      </c>
      <c r="BC33" s="328"/>
      <c r="BD33" s="329"/>
      <c r="BE33" s="329"/>
      <c r="BF33" s="329"/>
      <c r="BG33" s="329"/>
      <c r="BH33" s="329"/>
      <c r="BI33" s="329"/>
      <c r="BJ33" s="329"/>
      <c r="BK33" s="329"/>
      <c r="BL33" s="329"/>
      <c r="BM33" s="329"/>
      <c r="BN33" s="330"/>
      <c r="BO33" s="456"/>
      <c r="BP33" s="457"/>
    </row>
    <row r="34" spans="1:68" ht="13.5" hidden="1" thickBot="1" x14ac:dyDescent="0.25">
      <c r="A34" s="302"/>
      <c r="B34" s="303"/>
      <c r="C34" s="325"/>
      <c r="D34" s="304" t="str">
        <f t="shared" si="16"/>
        <v>01/03/2013 al 31/03/2013</v>
      </c>
      <c r="E34" s="668" t="s">
        <v>231</v>
      </c>
      <c r="F34" s="305" t="e">
        <f t="shared" si="8"/>
        <v>#DIV/0!</v>
      </c>
      <c r="G34" s="662" t="s">
        <v>218</v>
      </c>
      <c r="H34" s="306"/>
      <c r="I34" s="307"/>
      <c r="J34" s="307"/>
      <c r="K34" s="307"/>
      <c r="L34" s="307"/>
      <c r="M34" s="307"/>
      <c r="N34" s="326"/>
      <c r="O34" s="308"/>
      <c r="P34" s="322"/>
      <c r="Q34" s="307"/>
      <c r="R34" s="307"/>
      <c r="S34" s="663"/>
      <c r="T34" s="309"/>
      <c r="U34" s="310"/>
      <c r="V34" s="311"/>
      <c r="W34" s="311"/>
      <c r="X34" s="311"/>
      <c r="Y34" s="311"/>
      <c r="Z34" s="312"/>
      <c r="AA34" s="327"/>
      <c r="AB34" s="313"/>
      <c r="AC34" s="314"/>
      <c r="AD34" s="311"/>
      <c r="AE34" s="311"/>
      <c r="AF34" s="315"/>
      <c r="AG34" s="664"/>
      <c r="AH34" s="316"/>
      <c r="AI34" s="317"/>
      <c r="AJ34" s="317"/>
      <c r="AK34" s="317"/>
      <c r="AL34" s="317"/>
      <c r="AM34" s="318">
        <f t="shared" si="21"/>
        <v>0</v>
      </c>
      <c r="AN34" s="319">
        <f t="shared" si="22"/>
        <v>0</v>
      </c>
      <c r="AO34" s="347">
        <f>TOTAL!K86</f>
        <v>0</v>
      </c>
      <c r="AP34" s="317"/>
      <c r="AQ34" s="317"/>
      <c r="AR34" s="317"/>
      <c r="AS34" s="661"/>
      <c r="AT34" s="317"/>
      <c r="AU34" s="434">
        <f>TOTAL!D86</f>
        <v>0</v>
      </c>
      <c r="AV34" s="320"/>
      <c r="AW34" s="323"/>
      <c r="AX34" s="302">
        <f t="shared" si="23"/>
        <v>0</v>
      </c>
      <c r="AY34" s="321"/>
      <c r="AZ34" s="302" t="e">
        <f t="shared" si="24"/>
        <v>#DIV/0!</v>
      </c>
      <c r="BA34" s="324"/>
      <c r="BB34" s="466"/>
      <c r="BC34" s="328"/>
      <c r="BD34" s="329"/>
      <c r="BE34" s="329"/>
      <c r="BF34" s="329"/>
      <c r="BG34" s="329"/>
      <c r="BH34" s="329"/>
      <c r="BI34" s="329"/>
      <c r="BJ34" s="329"/>
      <c r="BK34" s="329"/>
      <c r="BL34" s="329"/>
      <c r="BM34" s="329"/>
      <c r="BN34" s="330"/>
      <c r="BO34" s="671"/>
      <c r="BP34" s="672"/>
    </row>
    <row r="35" spans="1:68" ht="13.5" hidden="1" thickBot="1" x14ac:dyDescent="0.25">
      <c r="A35" s="302"/>
      <c r="B35" s="303"/>
      <c r="C35" s="325"/>
      <c r="D35" s="304" t="s">
        <v>288</v>
      </c>
      <c r="E35" s="863" t="s">
        <v>289</v>
      </c>
      <c r="F35" s="305" t="e">
        <f t="shared" si="8"/>
        <v>#DIV/0!</v>
      </c>
      <c r="G35" s="662" t="s">
        <v>218</v>
      </c>
      <c r="H35" s="306"/>
      <c r="I35" s="307"/>
      <c r="J35" s="307"/>
      <c r="K35" s="307"/>
      <c r="L35" s="307"/>
      <c r="M35" s="307"/>
      <c r="N35" s="326"/>
      <c r="O35" s="308"/>
      <c r="P35" s="322"/>
      <c r="Q35" s="307"/>
      <c r="R35" s="307"/>
      <c r="S35" s="663"/>
      <c r="T35" s="309"/>
      <c r="U35" s="310"/>
      <c r="V35" s="311"/>
      <c r="W35" s="311"/>
      <c r="X35" s="311"/>
      <c r="Y35" s="311"/>
      <c r="Z35" s="312"/>
      <c r="AA35" s="327"/>
      <c r="AB35" s="313"/>
      <c r="AC35" s="314"/>
      <c r="AD35" s="311"/>
      <c r="AE35" s="311"/>
      <c r="AF35" s="315"/>
      <c r="AG35" s="664"/>
      <c r="AH35" s="316"/>
      <c r="AI35" s="317"/>
      <c r="AJ35" s="317"/>
      <c r="AK35" s="317"/>
      <c r="AL35" s="317"/>
      <c r="AM35" s="318">
        <f t="shared" si="21"/>
        <v>0</v>
      </c>
      <c r="AN35" s="319">
        <f t="shared" si="22"/>
        <v>0</v>
      </c>
      <c r="AO35" s="347">
        <f>TOTAL!K87</f>
        <v>0</v>
      </c>
      <c r="AP35" s="317"/>
      <c r="AQ35" s="317"/>
      <c r="AR35" s="317"/>
      <c r="AS35" s="661"/>
      <c r="AT35" s="317"/>
      <c r="AU35" s="434">
        <f>TOTAL!D87</f>
        <v>0</v>
      </c>
      <c r="AV35" s="320"/>
      <c r="AW35" s="323"/>
      <c r="AX35" s="302">
        <f t="shared" si="23"/>
        <v>0</v>
      </c>
      <c r="AY35" s="321"/>
      <c r="AZ35" s="302" t="e">
        <f t="shared" si="24"/>
        <v>#DIV/0!</v>
      </c>
      <c r="BA35" s="324"/>
      <c r="BB35" s="466"/>
      <c r="BC35" s="328"/>
      <c r="BD35" s="329"/>
      <c r="BE35" s="329"/>
      <c r="BF35" s="329"/>
      <c r="BG35" s="329"/>
      <c r="BH35" s="329"/>
      <c r="BI35" s="329"/>
      <c r="BJ35" s="329"/>
      <c r="BK35" s="329"/>
      <c r="BL35" s="329"/>
      <c r="BM35" s="329"/>
      <c r="BN35" s="330"/>
      <c r="BO35" s="671"/>
      <c r="BP35" s="672"/>
    </row>
    <row r="36" spans="1:68" ht="13.5" hidden="1" thickBot="1" x14ac:dyDescent="0.25">
      <c r="A36" s="302"/>
      <c r="B36" s="303"/>
      <c r="C36" s="325"/>
      <c r="D36" s="304" t="str">
        <f t="shared" si="16"/>
        <v>FENO RESINAS, S.A. D</v>
      </c>
      <c r="E36" s="668" t="s">
        <v>233</v>
      </c>
      <c r="F36" s="305" t="e">
        <f t="shared" si="8"/>
        <v>#DIV/0!</v>
      </c>
      <c r="G36" s="662" t="s">
        <v>218</v>
      </c>
      <c r="H36" s="306"/>
      <c r="I36" s="307"/>
      <c r="J36" s="307"/>
      <c r="K36" s="307"/>
      <c r="L36" s="307"/>
      <c r="M36" s="307"/>
      <c r="N36" s="326"/>
      <c r="O36" s="308"/>
      <c r="P36" s="322"/>
      <c r="Q36" s="307"/>
      <c r="R36" s="307"/>
      <c r="S36" s="663"/>
      <c r="T36" s="309"/>
      <c r="U36" s="310"/>
      <c r="V36" s="311"/>
      <c r="W36" s="311"/>
      <c r="X36" s="311"/>
      <c r="Y36" s="311"/>
      <c r="Z36" s="312"/>
      <c r="AA36" s="327"/>
      <c r="AB36" s="313"/>
      <c r="AC36" s="314"/>
      <c r="AD36" s="311"/>
      <c r="AE36" s="311"/>
      <c r="AF36" s="315"/>
      <c r="AG36" s="664"/>
      <c r="AH36" s="316"/>
      <c r="AI36" s="317"/>
      <c r="AJ36" s="317"/>
      <c r="AK36" s="317"/>
      <c r="AL36" s="317"/>
      <c r="AM36" s="318">
        <f t="shared" si="21"/>
        <v>0</v>
      </c>
      <c r="AN36" s="319">
        <f t="shared" si="22"/>
        <v>0</v>
      </c>
      <c r="AO36" s="347">
        <f>TOTAL!K88</f>
        <v>0</v>
      </c>
      <c r="AP36" s="317"/>
      <c r="AQ36" s="317"/>
      <c r="AR36" s="317"/>
      <c r="AS36" s="661"/>
      <c r="AT36" s="317"/>
      <c r="AU36" s="434">
        <f>TOTAL!D88</f>
        <v>0</v>
      </c>
      <c r="AV36" s="320"/>
      <c r="AW36" s="323"/>
      <c r="AX36" s="302">
        <f t="shared" si="23"/>
        <v>0</v>
      </c>
      <c r="AY36" s="321"/>
      <c r="AZ36" s="302" t="e">
        <f t="shared" si="24"/>
        <v>#DIV/0!</v>
      </c>
      <c r="BA36" s="324"/>
      <c r="BB36" s="466"/>
      <c r="BC36" s="328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30"/>
      <c r="BO36" s="671"/>
      <c r="BP36" s="672"/>
    </row>
    <row r="37" spans="1:68" ht="13.5" hidden="1" thickBot="1" x14ac:dyDescent="0.25">
      <c r="A37" s="302"/>
      <c r="B37" s="303"/>
      <c r="C37" s="325"/>
      <c r="D37" s="304" t="str">
        <f t="shared" si="16"/>
        <v>FENO RESINAS, S.A. D</v>
      </c>
      <c r="E37" s="668" t="s">
        <v>234</v>
      </c>
      <c r="F37" s="305" t="e">
        <f t="shared" si="8"/>
        <v>#DIV/0!</v>
      </c>
      <c r="G37" s="662" t="s">
        <v>218</v>
      </c>
      <c r="H37" s="306"/>
      <c r="I37" s="307"/>
      <c r="J37" s="307"/>
      <c r="K37" s="307"/>
      <c r="L37" s="307"/>
      <c r="M37" s="307"/>
      <c r="N37" s="326"/>
      <c r="O37" s="308"/>
      <c r="P37" s="322" t="str">
        <f t="shared" si="26"/>
        <v/>
      </c>
      <c r="Q37" s="307"/>
      <c r="R37" s="307"/>
      <c r="S37" s="663"/>
      <c r="T37" s="309"/>
      <c r="U37" s="310"/>
      <c r="V37" s="311"/>
      <c r="W37" s="311"/>
      <c r="X37" s="311"/>
      <c r="Y37" s="311"/>
      <c r="Z37" s="312"/>
      <c r="AA37" s="327"/>
      <c r="AB37" s="313"/>
      <c r="AC37" s="314"/>
      <c r="AD37" s="311"/>
      <c r="AE37" s="311"/>
      <c r="AF37" s="315"/>
      <c r="AG37" s="664"/>
      <c r="AH37" s="316" t="str">
        <f t="shared" si="27"/>
        <v/>
      </c>
      <c r="AI37" s="317" t="str">
        <f t="shared" si="28"/>
        <v/>
      </c>
      <c r="AJ37" s="317" t="str">
        <f t="shared" si="29"/>
        <v/>
      </c>
      <c r="AK37" s="317" t="str">
        <f t="shared" si="30"/>
        <v/>
      </c>
      <c r="AL37" s="317"/>
      <c r="AM37" s="318">
        <f t="shared" si="21"/>
        <v>0</v>
      </c>
      <c r="AN37" s="319">
        <f t="shared" si="22"/>
        <v>0</v>
      </c>
      <c r="AO37" s="347">
        <f>TOTAL!K89</f>
        <v>0</v>
      </c>
      <c r="AP37" s="317"/>
      <c r="AQ37" s="317" t="str">
        <f t="shared" si="31"/>
        <v/>
      </c>
      <c r="AR37" s="317" t="str">
        <f t="shared" si="32"/>
        <v/>
      </c>
      <c r="AS37" s="661" t="str">
        <f t="shared" si="33"/>
        <v/>
      </c>
      <c r="AT37" s="317"/>
      <c r="AU37" s="434">
        <f>TOTAL!D89</f>
        <v>0</v>
      </c>
      <c r="AV37" s="320"/>
      <c r="AW37" s="323"/>
      <c r="AX37" s="302">
        <f t="shared" si="23"/>
        <v>0</v>
      </c>
      <c r="AY37" s="321"/>
      <c r="AZ37" s="302" t="e">
        <f t="shared" si="24"/>
        <v>#DIV/0!</v>
      </c>
      <c r="BA37" s="324"/>
      <c r="BB37" s="466" t="e">
        <f t="shared" si="25"/>
        <v>#DIV/0!</v>
      </c>
      <c r="BC37" s="328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30"/>
      <c r="BO37" s="458"/>
      <c r="BP37" s="459"/>
    </row>
    <row r="40" spans="1:68" ht="13.5" thickBot="1" x14ac:dyDescent="0.25">
      <c r="A40" t="s">
        <v>287</v>
      </c>
      <c r="AO40" s="724">
        <f>TOTAL!K55</f>
        <v>20.125805441405532</v>
      </c>
      <c r="BB40" s="731">
        <f>AN3/AW3</f>
        <v>0.96806451612903233</v>
      </c>
    </row>
    <row r="41" spans="1:68" ht="13.5" thickBot="1" x14ac:dyDescent="0.25">
      <c r="A41" s="331" t="s">
        <v>103</v>
      </c>
      <c r="B41" s="332" t="s">
        <v>128</v>
      </c>
      <c r="C41" s="333" t="s">
        <v>129</v>
      </c>
      <c r="D41" s="334"/>
      <c r="E41" s="348" t="s">
        <v>105</v>
      </c>
    </row>
    <row r="42" spans="1:68" ht="13.5" thickBot="1" x14ac:dyDescent="0.25">
      <c r="A42" s="335" t="s">
        <v>147</v>
      </c>
      <c r="B42" s="336">
        <v>48.7</v>
      </c>
      <c r="C42" s="337">
        <v>4.1567280000000002</v>
      </c>
      <c r="D42" s="338"/>
      <c r="E42" s="349"/>
    </row>
    <row r="43" spans="1:68" x14ac:dyDescent="0.2">
      <c r="A43" s="339" t="s">
        <v>148</v>
      </c>
      <c r="B43" s="336">
        <v>50.22</v>
      </c>
      <c r="C43" s="337">
        <v>4.2864659999999999</v>
      </c>
      <c r="D43" s="338"/>
    </row>
    <row r="44" spans="1:68" x14ac:dyDescent="0.2">
      <c r="A44" s="339" t="s">
        <v>149</v>
      </c>
      <c r="B44" s="336">
        <v>48.44</v>
      </c>
      <c r="C44" s="337">
        <v>4.1345359999999998</v>
      </c>
      <c r="D44" s="338"/>
    </row>
    <row r="45" spans="1:68" x14ac:dyDescent="0.2">
      <c r="A45" s="339"/>
      <c r="B45" s="336"/>
      <c r="C45" s="337"/>
      <c r="D45" s="338"/>
    </row>
    <row r="46" spans="1:68" ht="13.5" thickBot="1" x14ac:dyDescent="0.25">
      <c r="A46" s="340"/>
      <c r="B46" s="341"/>
      <c r="C46" s="342"/>
      <c r="D46" s="338"/>
    </row>
    <row r="47" spans="1:68" ht="28.5" customHeight="1" thickBot="1" x14ac:dyDescent="0.4">
      <c r="A47" s="343" t="s">
        <v>104</v>
      </c>
      <c r="B47" s="343">
        <v>12.3612</v>
      </c>
      <c r="C47" s="14" t="s">
        <v>130</v>
      </c>
      <c r="D47" s="344"/>
      <c r="E47" s="460" t="s">
        <v>133</v>
      </c>
    </row>
    <row r="48" spans="1:68" ht="13.5" thickTop="1" x14ac:dyDescent="0.2">
      <c r="C48" s="14"/>
      <c r="D48" s="461"/>
      <c r="E48" s="462"/>
      <c r="F48" s="462"/>
      <c r="G48" s="462"/>
      <c r="H48" s="462"/>
      <c r="I48" s="462"/>
      <c r="J48" s="462"/>
      <c r="K48" s="462"/>
      <c r="L48" s="462"/>
    </row>
    <row r="49" spans="2:12" x14ac:dyDescent="0.2">
      <c r="C49" s="334"/>
      <c r="D49" s="463"/>
      <c r="E49" s="462"/>
      <c r="F49" s="462"/>
      <c r="G49" s="462"/>
      <c r="H49" s="462"/>
      <c r="I49" s="462"/>
      <c r="J49" s="462"/>
      <c r="K49" s="462"/>
      <c r="L49" s="462"/>
    </row>
    <row r="50" spans="2:12" x14ac:dyDescent="0.2">
      <c r="C50" s="345"/>
      <c r="D50" s="464"/>
      <c r="E50" s="462"/>
      <c r="F50" s="462"/>
      <c r="G50" s="462"/>
      <c r="H50" s="462"/>
      <c r="I50" s="462"/>
      <c r="J50" s="462"/>
      <c r="K50" s="462"/>
      <c r="L50" s="462"/>
    </row>
    <row r="51" spans="2:12" x14ac:dyDescent="0.2">
      <c r="C51" s="345"/>
      <c r="D51" s="464"/>
      <c r="E51" s="462"/>
      <c r="F51" s="462"/>
      <c r="G51" s="462"/>
      <c r="H51" s="462"/>
      <c r="I51" s="462"/>
      <c r="J51" s="462"/>
      <c r="K51" s="462"/>
      <c r="L51" s="462"/>
    </row>
    <row r="52" spans="2:12" x14ac:dyDescent="0.2">
      <c r="E52" s="469"/>
      <c r="F52" s="462"/>
      <c r="G52" s="462"/>
      <c r="H52" s="462"/>
      <c r="I52" s="462"/>
      <c r="J52" s="462"/>
      <c r="K52" s="462"/>
      <c r="L52" s="462"/>
    </row>
    <row r="53" spans="2:12" x14ac:dyDescent="0.2">
      <c r="E53" s="470"/>
      <c r="F53" s="462"/>
      <c r="G53" s="462"/>
      <c r="H53" s="462"/>
      <c r="I53" s="462"/>
      <c r="J53" s="462"/>
      <c r="K53" s="462"/>
      <c r="L53" s="462"/>
    </row>
    <row r="54" spans="2:12" x14ac:dyDescent="0.2">
      <c r="E54" s="469"/>
      <c r="F54" s="462"/>
      <c r="G54" s="462"/>
      <c r="H54" s="462"/>
      <c r="I54" s="462"/>
      <c r="J54" s="462"/>
      <c r="K54" s="462"/>
      <c r="L54" s="462"/>
    </row>
    <row r="55" spans="2:12" x14ac:dyDescent="0.2">
      <c r="C55" s="346"/>
      <c r="D55" s="465"/>
      <c r="E55" s="470"/>
      <c r="F55" s="462"/>
      <c r="G55" s="462"/>
      <c r="H55" s="462"/>
      <c r="I55" s="462"/>
      <c r="J55" s="462"/>
      <c r="K55" s="462"/>
      <c r="L55" s="462"/>
    </row>
    <row r="56" spans="2:12" x14ac:dyDescent="0.2">
      <c r="D56" s="462"/>
      <c r="E56" s="469"/>
      <c r="F56" s="462"/>
      <c r="G56" s="462"/>
      <c r="H56" s="462"/>
      <c r="I56" s="462"/>
      <c r="J56" s="462"/>
      <c r="K56" s="462"/>
      <c r="L56" s="462"/>
    </row>
    <row r="57" spans="2:12" x14ac:dyDescent="0.2">
      <c r="D57" s="462"/>
      <c r="E57" s="470"/>
      <c r="F57" s="462"/>
      <c r="G57" s="462"/>
      <c r="H57" s="462"/>
      <c r="I57" s="462"/>
      <c r="J57" s="462"/>
      <c r="K57" s="462"/>
      <c r="L57" s="462"/>
    </row>
    <row r="58" spans="2:12" x14ac:dyDescent="0.2">
      <c r="D58" s="463"/>
      <c r="E58" s="469"/>
      <c r="F58" s="462"/>
      <c r="G58" s="462"/>
      <c r="H58" s="462"/>
      <c r="I58" s="462"/>
      <c r="J58" s="462"/>
      <c r="K58" s="462"/>
      <c r="L58" s="462"/>
    </row>
    <row r="59" spans="2:12" x14ac:dyDescent="0.2">
      <c r="D59" s="463"/>
      <c r="E59" s="470"/>
      <c r="F59" s="462"/>
      <c r="G59" s="462"/>
      <c r="H59" s="462"/>
      <c r="I59" s="462"/>
      <c r="J59" s="462"/>
      <c r="K59" s="462"/>
      <c r="L59" s="462"/>
    </row>
    <row r="60" spans="2:12" x14ac:dyDescent="0.2">
      <c r="D60" s="463"/>
      <c r="E60" s="469"/>
      <c r="F60" s="462"/>
      <c r="G60" s="462"/>
      <c r="H60" s="462"/>
      <c r="I60" s="462"/>
      <c r="J60" s="462"/>
      <c r="K60" s="462"/>
      <c r="L60" s="462"/>
    </row>
    <row r="61" spans="2:12" x14ac:dyDescent="0.2">
      <c r="D61" s="463"/>
      <c r="E61" s="470"/>
      <c r="F61" s="462"/>
      <c r="G61" s="462"/>
      <c r="H61" s="462"/>
      <c r="I61" s="462"/>
      <c r="J61" s="462"/>
      <c r="K61" s="462"/>
      <c r="L61" s="462"/>
    </row>
    <row r="62" spans="2:12" ht="13.5" thickBot="1" x14ac:dyDescent="0.25">
      <c r="D62" s="463"/>
      <c r="E62" s="690">
        <f>SUM(AO3:AO21)</f>
        <v>80576.374083544943</v>
      </c>
      <c r="F62" s="462"/>
      <c r="G62" s="462"/>
      <c r="H62" s="462"/>
      <c r="I62" s="462"/>
      <c r="J62" s="462"/>
      <c r="K62" s="462"/>
      <c r="L62" s="462"/>
    </row>
    <row r="63" spans="2:12" ht="13.5" thickBot="1" x14ac:dyDescent="0.25">
      <c r="B63" s="689" t="s">
        <v>15</v>
      </c>
      <c r="C63" s="345"/>
      <c r="D63" s="464"/>
      <c r="E63" s="470"/>
      <c r="F63" s="857" t="s">
        <v>242</v>
      </c>
      <c r="G63" s="858"/>
      <c r="H63" s="462"/>
      <c r="I63" s="462"/>
      <c r="J63" s="462"/>
      <c r="K63" s="462"/>
      <c r="L63" s="462"/>
    </row>
    <row r="64" spans="2:12" ht="13.5" thickBot="1" x14ac:dyDescent="0.25">
      <c r="B64" s="854" t="s">
        <v>240</v>
      </c>
      <c r="C64" s="855"/>
      <c r="D64" s="856"/>
      <c r="E64" s="469" t="e">
        <f>IF(E62&gt;TOTAL!F53,BIEN,ERROR)</f>
        <v>#NAME?</v>
      </c>
      <c r="F64" s="859" t="e">
        <f>IF(E62='13031-01'!X37,BIEN,ERROR)</f>
        <v>#NAME?</v>
      </c>
      <c r="G64" s="860"/>
      <c r="H64" s="462"/>
      <c r="I64" s="462"/>
      <c r="J64" s="462"/>
      <c r="K64" s="462"/>
      <c r="L64" s="462"/>
    </row>
    <row r="65" spans="2:12" ht="13.5" thickBot="1" x14ac:dyDescent="0.25">
      <c r="B65" s="854" t="s">
        <v>241</v>
      </c>
      <c r="C65" s="855"/>
      <c r="D65" s="856"/>
      <c r="E65" s="469" t="b">
        <f>IF(E62&lt;TOTAL!F53,BIEN.ERROR)</f>
        <v>0</v>
      </c>
      <c r="F65" s="462"/>
      <c r="G65" s="462"/>
      <c r="H65" s="462"/>
      <c r="I65" s="462"/>
      <c r="J65" s="462"/>
      <c r="K65" s="462"/>
      <c r="L65" s="462"/>
    </row>
    <row r="66" spans="2:12" x14ac:dyDescent="0.2">
      <c r="D66" s="462"/>
      <c r="E66" s="470"/>
      <c r="F66" s="462"/>
      <c r="G66" s="462"/>
      <c r="H66" s="462"/>
      <c r="I66" s="462"/>
      <c r="J66" s="462"/>
      <c r="K66" s="462"/>
      <c r="L66" s="462"/>
    </row>
    <row r="67" spans="2:12" x14ac:dyDescent="0.2">
      <c r="D67" s="462"/>
      <c r="E67" s="470"/>
      <c r="F67" s="462"/>
      <c r="G67" s="462"/>
      <c r="H67" s="462"/>
      <c r="I67" s="462"/>
      <c r="J67" s="462"/>
      <c r="K67" s="462"/>
      <c r="L67" s="462"/>
    </row>
    <row r="68" spans="2:12" x14ac:dyDescent="0.2">
      <c r="D68" s="462"/>
      <c r="E68" s="470"/>
      <c r="F68" s="462"/>
      <c r="G68" s="462"/>
      <c r="H68" s="462"/>
      <c r="I68" s="462"/>
      <c r="J68" s="462"/>
      <c r="K68" s="462"/>
      <c r="L68" s="462"/>
    </row>
    <row r="69" spans="2:12" x14ac:dyDescent="0.2">
      <c r="D69" s="462"/>
      <c r="E69" s="469"/>
      <c r="F69" s="462"/>
      <c r="G69" s="462"/>
      <c r="H69" s="462"/>
      <c r="I69" s="462"/>
      <c r="J69" s="462"/>
      <c r="K69" s="462"/>
      <c r="L69" s="462"/>
    </row>
    <row r="70" spans="2:12" x14ac:dyDescent="0.2">
      <c r="D70" s="462"/>
      <c r="E70" s="470"/>
      <c r="F70" s="462"/>
      <c r="G70" s="462"/>
      <c r="H70" s="462"/>
      <c r="I70" s="462"/>
      <c r="J70" s="462"/>
      <c r="K70" s="462"/>
      <c r="L70" s="462"/>
    </row>
    <row r="71" spans="2:12" x14ac:dyDescent="0.2">
      <c r="D71" s="462"/>
      <c r="E71" s="469"/>
      <c r="F71" s="462"/>
      <c r="G71" s="462"/>
      <c r="H71" s="462"/>
      <c r="I71" s="462"/>
      <c r="J71" s="462"/>
      <c r="K71" s="462"/>
      <c r="L71" s="462"/>
    </row>
    <row r="72" spans="2:12" x14ac:dyDescent="0.2">
      <c r="D72" s="462"/>
      <c r="E72" s="470"/>
      <c r="F72" s="462"/>
      <c r="G72" s="462"/>
      <c r="H72" s="462"/>
      <c r="I72" s="462"/>
      <c r="J72" s="462"/>
      <c r="K72" s="462"/>
      <c r="L72" s="462"/>
    </row>
    <row r="73" spans="2:12" x14ac:dyDescent="0.2">
      <c r="D73" s="462"/>
      <c r="E73" s="469"/>
      <c r="F73" s="462"/>
      <c r="G73" s="462"/>
      <c r="H73" s="462"/>
      <c r="I73" s="462"/>
      <c r="J73" s="462"/>
      <c r="K73" s="462"/>
      <c r="L73" s="462"/>
    </row>
    <row r="74" spans="2:12" x14ac:dyDescent="0.2">
      <c r="D74" s="462"/>
      <c r="E74" s="470"/>
      <c r="F74" s="462"/>
      <c r="G74" s="462"/>
      <c r="H74" s="462"/>
      <c r="I74" s="462"/>
      <c r="J74" s="462"/>
      <c r="K74" s="462"/>
      <c r="L74" s="462"/>
    </row>
    <row r="75" spans="2:12" x14ac:dyDescent="0.2">
      <c r="D75" s="462"/>
      <c r="E75" s="469"/>
      <c r="F75" s="462"/>
      <c r="G75" s="462"/>
      <c r="H75" s="462"/>
      <c r="I75" s="462"/>
      <c r="J75" s="462"/>
      <c r="K75" s="462"/>
      <c r="L75" s="462"/>
    </row>
    <row r="76" spans="2:12" x14ac:dyDescent="0.2">
      <c r="D76" s="462"/>
      <c r="E76" s="470"/>
      <c r="F76" s="462"/>
      <c r="G76" s="462"/>
      <c r="H76" s="462"/>
      <c r="I76" s="462"/>
      <c r="J76" s="462"/>
      <c r="K76" s="462"/>
      <c r="L76" s="462"/>
    </row>
    <row r="77" spans="2:12" x14ac:dyDescent="0.2">
      <c r="D77" s="462"/>
      <c r="E77" s="469"/>
      <c r="F77" s="462"/>
      <c r="G77" s="462"/>
      <c r="H77" s="462"/>
      <c r="I77" s="462"/>
      <c r="J77" s="462"/>
      <c r="K77" s="462"/>
      <c r="L77" s="462"/>
    </row>
    <row r="78" spans="2:12" x14ac:dyDescent="0.2">
      <c r="D78" s="462"/>
      <c r="E78" s="470"/>
      <c r="F78" s="462"/>
      <c r="G78" s="462"/>
      <c r="H78" s="462"/>
      <c r="I78" s="462"/>
      <c r="J78" s="462"/>
      <c r="K78" s="462"/>
      <c r="L78" s="462"/>
    </row>
    <row r="79" spans="2:12" x14ac:dyDescent="0.2">
      <c r="D79" s="462"/>
      <c r="E79" s="469"/>
      <c r="F79" s="462"/>
      <c r="G79" s="462"/>
      <c r="H79" s="462"/>
      <c r="I79" s="462"/>
      <c r="J79" s="462"/>
      <c r="K79" s="462"/>
      <c r="L79" s="462"/>
    </row>
    <row r="80" spans="2:12" x14ac:dyDescent="0.2">
      <c r="D80" s="462"/>
      <c r="E80" s="470"/>
      <c r="F80" s="462"/>
      <c r="G80" s="462"/>
      <c r="H80" s="462"/>
      <c r="I80" s="462"/>
      <c r="J80" s="462"/>
      <c r="K80" s="462"/>
      <c r="L80" s="462"/>
    </row>
    <row r="81" spans="4:12" x14ac:dyDescent="0.2">
      <c r="D81" s="462"/>
      <c r="E81" s="469"/>
      <c r="F81" s="462"/>
      <c r="G81" s="462"/>
      <c r="H81" s="462"/>
      <c r="I81" s="462"/>
      <c r="J81" s="462"/>
      <c r="K81" s="462"/>
      <c r="L81" s="462"/>
    </row>
    <row r="82" spans="4:12" x14ac:dyDescent="0.2">
      <c r="D82" s="462"/>
      <c r="E82" s="470"/>
      <c r="F82" s="462"/>
      <c r="G82" s="462"/>
      <c r="H82" s="462"/>
      <c r="I82" s="462"/>
      <c r="J82" s="462"/>
      <c r="K82" s="462"/>
      <c r="L82" s="462"/>
    </row>
    <row r="83" spans="4:12" x14ac:dyDescent="0.2">
      <c r="D83" s="462"/>
      <c r="E83" s="469"/>
      <c r="F83" s="462"/>
      <c r="G83" s="462"/>
      <c r="H83" s="462"/>
      <c r="I83" s="462"/>
      <c r="J83" s="462"/>
      <c r="K83" s="462"/>
      <c r="L83" s="462"/>
    </row>
    <row r="84" spans="4:12" x14ac:dyDescent="0.2">
      <c r="D84" s="462"/>
      <c r="E84" s="470"/>
      <c r="F84" s="462"/>
      <c r="G84" s="462"/>
      <c r="H84" s="462"/>
      <c r="I84" s="462"/>
      <c r="J84" s="462"/>
      <c r="K84" s="462"/>
      <c r="L84" s="462"/>
    </row>
    <row r="85" spans="4:12" x14ac:dyDescent="0.2">
      <c r="D85" s="462"/>
      <c r="E85" s="469"/>
      <c r="F85" s="462"/>
      <c r="G85" s="462"/>
      <c r="H85" s="462"/>
      <c r="I85" s="462"/>
      <c r="J85" s="462"/>
      <c r="K85" s="462"/>
      <c r="L85" s="462"/>
    </row>
    <row r="86" spans="4:12" x14ac:dyDescent="0.2">
      <c r="D86" s="462"/>
      <c r="E86" s="470"/>
      <c r="F86" s="462"/>
      <c r="G86" s="462"/>
      <c r="H86" s="462"/>
      <c r="I86" s="462"/>
      <c r="J86" s="462"/>
      <c r="K86" s="462"/>
      <c r="L86" s="462"/>
    </row>
    <row r="87" spans="4:12" x14ac:dyDescent="0.2">
      <c r="D87" s="462"/>
      <c r="E87" s="469"/>
      <c r="F87" s="462"/>
      <c r="G87" s="462"/>
      <c r="H87" s="462"/>
      <c r="I87" s="462"/>
      <c r="J87" s="462"/>
      <c r="K87" s="462"/>
      <c r="L87" s="462"/>
    </row>
    <row r="88" spans="4:12" x14ac:dyDescent="0.2">
      <c r="D88" s="462"/>
      <c r="E88" s="470"/>
      <c r="F88" s="462"/>
      <c r="G88" s="462"/>
      <c r="H88" s="462"/>
      <c r="I88" s="462"/>
      <c r="J88" s="462"/>
      <c r="K88" s="462"/>
      <c r="L88" s="462"/>
    </row>
    <row r="89" spans="4:12" x14ac:dyDescent="0.2">
      <c r="D89" s="462"/>
      <c r="E89" s="471"/>
      <c r="F89" s="462"/>
      <c r="G89" s="462"/>
      <c r="H89" s="462"/>
      <c r="I89" s="462"/>
      <c r="J89" s="462"/>
      <c r="K89" s="462"/>
      <c r="L89" s="462"/>
    </row>
    <row r="90" spans="4:12" x14ac:dyDescent="0.2">
      <c r="D90" s="462"/>
      <c r="E90" s="469"/>
      <c r="F90" s="462"/>
      <c r="G90" s="462"/>
      <c r="H90" s="462"/>
      <c r="I90" s="462"/>
      <c r="J90" s="462"/>
      <c r="K90" s="462"/>
      <c r="L90" s="462"/>
    </row>
    <row r="91" spans="4:12" x14ac:dyDescent="0.2">
      <c r="D91" s="462"/>
      <c r="E91" s="470"/>
      <c r="F91" s="462"/>
      <c r="G91" s="462"/>
      <c r="H91" s="462"/>
      <c r="I91" s="462"/>
      <c r="J91" s="462"/>
      <c r="K91" s="462"/>
      <c r="L91" s="462"/>
    </row>
    <row r="92" spans="4:12" x14ac:dyDescent="0.2">
      <c r="D92" s="462"/>
      <c r="E92" s="469"/>
      <c r="F92" s="462"/>
      <c r="G92" s="462"/>
      <c r="H92" s="462"/>
      <c r="I92" s="462"/>
      <c r="J92" s="462"/>
      <c r="K92" s="462"/>
      <c r="L92" s="462"/>
    </row>
    <row r="93" spans="4:12" x14ac:dyDescent="0.2">
      <c r="D93" s="462"/>
      <c r="E93" s="470"/>
      <c r="F93" s="462"/>
      <c r="G93" s="462"/>
      <c r="H93" s="462"/>
      <c r="I93" s="462"/>
      <c r="J93" s="462"/>
      <c r="K93" s="462"/>
      <c r="L93" s="462"/>
    </row>
    <row r="94" spans="4:12" x14ac:dyDescent="0.2">
      <c r="D94" s="462"/>
      <c r="E94" s="469"/>
      <c r="F94" s="462"/>
      <c r="G94" s="462"/>
      <c r="H94" s="462"/>
      <c r="I94" s="462"/>
      <c r="J94" s="462"/>
      <c r="K94" s="462"/>
      <c r="L94" s="462"/>
    </row>
    <row r="95" spans="4:12" x14ac:dyDescent="0.2">
      <c r="D95" s="462"/>
      <c r="E95" s="470"/>
      <c r="F95" s="462"/>
      <c r="G95" s="462"/>
      <c r="H95" s="462"/>
      <c r="I95" s="462"/>
      <c r="J95" s="462"/>
      <c r="K95" s="462"/>
      <c r="L95" s="462"/>
    </row>
    <row r="96" spans="4:12" x14ac:dyDescent="0.2">
      <c r="D96" s="462"/>
      <c r="E96" s="469"/>
      <c r="F96" s="462"/>
      <c r="G96" s="462"/>
      <c r="H96" s="462"/>
      <c r="I96" s="462"/>
      <c r="J96" s="462"/>
      <c r="K96" s="462"/>
      <c r="L96" s="462"/>
    </row>
    <row r="97" spans="4:12" x14ac:dyDescent="0.2">
      <c r="D97" s="462"/>
      <c r="E97" s="470"/>
      <c r="F97" s="462"/>
      <c r="G97" s="462"/>
      <c r="H97" s="462"/>
      <c r="I97" s="462"/>
      <c r="J97" s="462"/>
      <c r="K97" s="462"/>
      <c r="L97" s="462"/>
    </row>
    <row r="98" spans="4:12" x14ac:dyDescent="0.2">
      <c r="D98" s="462"/>
      <c r="E98" s="471"/>
      <c r="F98" s="462"/>
      <c r="G98" s="462"/>
      <c r="H98" s="462"/>
      <c r="I98" s="462"/>
      <c r="J98" s="462"/>
      <c r="K98" s="462"/>
      <c r="L98" s="462"/>
    </row>
    <row r="99" spans="4:12" x14ac:dyDescent="0.2">
      <c r="D99" s="462"/>
      <c r="E99" s="469"/>
      <c r="F99" s="462"/>
      <c r="G99" s="462"/>
      <c r="H99" s="462"/>
      <c r="I99" s="462"/>
      <c r="J99" s="462"/>
      <c r="K99" s="462"/>
      <c r="L99" s="462"/>
    </row>
    <row r="100" spans="4:12" x14ac:dyDescent="0.2">
      <c r="D100" s="462"/>
      <c r="E100" s="471"/>
      <c r="F100" s="462"/>
      <c r="G100" s="462"/>
      <c r="H100" s="462"/>
      <c r="I100" s="462"/>
      <c r="J100" s="462"/>
      <c r="K100" s="462"/>
      <c r="L100" s="462"/>
    </row>
    <row r="101" spans="4:12" x14ac:dyDescent="0.2">
      <c r="D101" s="462"/>
      <c r="E101" s="469"/>
      <c r="F101" s="462"/>
      <c r="G101" s="462"/>
      <c r="H101" s="462"/>
      <c r="I101" s="462"/>
      <c r="J101" s="462"/>
      <c r="K101" s="462"/>
      <c r="L101" s="462"/>
    </row>
    <row r="102" spans="4:12" x14ac:dyDescent="0.2">
      <c r="D102" s="462"/>
      <c r="E102" s="470"/>
      <c r="F102" s="462"/>
      <c r="G102" s="462"/>
      <c r="H102" s="462"/>
      <c r="I102" s="462"/>
      <c r="J102" s="462"/>
      <c r="K102" s="462"/>
      <c r="L102" s="462"/>
    </row>
    <row r="103" spans="4:12" x14ac:dyDescent="0.2">
      <c r="D103" s="462"/>
      <c r="E103" s="469"/>
      <c r="F103" s="462"/>
      <c r="G103" s="462"/>
      <c r="H103" s="462"/>
      <c r="I103" s="462"/>
      <c r="J103" s="462"/>
      <c r="K103" s="462"/>
      <c r="L103" s="462"/>
    </row>
    <row r="104" spans="4:12" x14ac:dyDescent="0.2">
      <c r="D104" s="462"/>
      <c r="E104" s="470"/>
      <c r="F104" s="462"/>
      <c r="G104" s="462"/>
      <c r="H104" s="462"/>
      <c r="I104" s="462"/>
      <c r="J104" s="462"/>
      <c r="K104" s="462"/>
      <c r="L104" s="462"/>
    </row>
    <row r="105" spans="4:12" x14ac:dyDescent="0.2">
      <c r="D105" s="462"/>
      <c r="E105" s="471"/>
      <c r="F105" s="462"/>
      <c r="G105" s="462"/>
      <c r="H105" s="462"/>
      <c r="I105" s="462"/>
      <c r="J105" s="462"/>
      <c r="K105" s="462"/>
      <c r="L105" s="462"/>
    </row>
    <row r="106" spans="4:12" x14ac:dyDescent="0.2">
      <c r="D106" s="462"/>
      <c r="E106" s="469"/>
      <c r="F106" s="462"/>
      <c r="G106" s="462"/>
      <c r="H106" s="462"/>
      <c r="I106" s="462"/>
      <c r="J106" s="462"/>
      <c r="K106" s="462"/>
      <c r="L106" s="462"/>
    </row>
    <row r="107" spans="4:12" x14ac:dyDescent="0.2">
      <c r="D107" s="462"/>
      <c r="E107" s="470"/>
      <c r="F107" s="462"/>
      <c r="G107" s="462"/>
      <c r="H107" s="462"/>
      <c r="I107" s="462"/>
      <c r="J107" s="462"/>
      <c r="K107" s="462"/>
      <c r="L107" s="462"/>
    </row>
    <row r="108" spans="4:12" x14ac:dyDescent="0.2">
      <c r="D108" s="462"/>
      <c r="E108" s="471"/>
      <c r="F108" s="462"/>
      <c r="G108" s="462"/>
      <c r="H108" s="462"/>
      <c r="I108" s="462"/>
      <c r="J108" s="462"/>
      <c r="K108" s="462"/>
      <c r="L108" s="462"/>
    </row>
    <row r="109" spans="4:12" x14ac:dyDescent="0.2">
      <c r="D109" s="462"/>
      <c r="E109" s="470"/>
      <c r="F109" s="462"/>
      <c r="G109" s="462"/>
      <c r="H109" s="462"/>
      <c r="I109" s="462"/>
      <c r="J109" s="462"/>
      <c r="K109" s="462"/>
      <c r="L109" s="462"/>
    </row>
    <row r="110" spans="4:12" x14ac:dyDescent="0.2">
      <c r="D110" s="462"/>
      <c r="E110" s="471"/>
      <c r="F110" s="462"/>
      <c r="G110" s="462"/>
      <c r="H110" s="462"/>
      <c r="I110" s="462"/>
      <c r="J110" s="462"/>
      <c r="K110" s="462"/>
      <c r="L110" s="462"/>
    </row>
    <row r="111" spans="4:12" x14ac:dyDescent="0.2">
      <c r="D111" s="462"/>
      <c r="E111" s="470"/>
      <c r="F111" s="462"/>
      <c r="G111" s="462"/>
      <c r="H111" s="462"/>
      <c r="I111" s="462"/>
      <c r="J111" s="462"/>
      <c r="K111" s="462"/>
      <c r="L111" s="462"/>
    </row>
    <row r="112" spans="4:12" x14ac:dyDescent="0.2">
      <c r="D112" s="462"/>
      <c r="E112" s="469"/>
      <c r="F112" s="462"/>
      <c r="G112" s="462"/>
      <c r="H112" s="462"/>
      <c r="I112" s="462"/>
      <c r="J112" s="462"/>
      <c r="K112" s="462"/>
      <c r="L112" s="462"/>
    </row>
    <row r="113" spans="4:12" x14ac:dyDescent="0.2">
      <c r="D113" s="462"/>
      <c r="E113" s="462"/>
      <c r="F113" s="462"/>
      <c r="G113" s="462"/>
      <c r="H113" s="462"/>
      <c r="I113" s="462"/>
      <c r="J113" s="462"/>
      <c r="K113" s="462"/>
      <c r="L113" s="462"/>
    </row>
    <row r="114" spans="4:12" x14ac:dyDescent="0.2">
      <c r="D114" s="462"/>
      <c r="E114" s="462"/>
      <c r="F114" s="462"/>
      <c r="G114" s="462"/>
      <c r="H114" s="462"/>
      <c r="I114" s="462"/>
      <c r="J114" s="462"/>
      <c r="K114" s="462"/>
      <c r="L114" s="462"/>
    </row>
    <row r="115" spans="4:12" x14ac:dyDescent="0.2">
      <c r="D115" s="462"/>
      <c r="E115" s="462"/>
      <c r="F115" s="462"/>
      <c r="G115" s="462"/>
      <c r="H115" s="462"/>
      <c r="I115" s="462"/>
      <c r="J115" s="462"/>
      <c r="K115" s="462"/>
      <c r="L115" s="462"/>
    </row>
    <row r="116" spans="4:12" x14ac:dyDescent="0.2">
      <c r="D116" s="462"/>
      <c r="E116" s="462"/>
      <c r="F116" s="462"/>
      <c r="G116" s="462"/>
      <c r="H116" s="462"/>
      <c r="I116" s="462"/>
      <c r="J116" s="462"/>
      <c r="K116" s="462"/>
      <c r="L116" s="462"/>
    </row>
    <row r="117" spans="4:12" x14ac:dyDescent="0.2">
      <c r="D117" s="462"/>
      <c r="E117" s="462"/>
      <c r="F117" s="462"/>
      <c r="G117" s="462"/>
      <c r="H117" s="462"/>
      <c r="I117" s="462"/>
      <c r="J117" s="462"/>
      <c r="K117" s="462"/>
      <c r="L117" s="462"/>
    </row>
    <row r="118" spans="4:12" x14ac:dyDescent="0.2">
      <c r="D118" s="462"/>
      <c r="E118" s="462"/>
      <c r="F118" s="462"/>
      <c r="G118" s="462"/>
      <c r="H118" s="462"/>
      <c r="I118" s="462"/>
      <c r="J118" s="462"/>
      <c r="K118" s="462"/>
      <c r="L118" s="462"/>
    </row>
    <row r="119" spans="4:12" x14ac:dyDescent="0.2">
      <c r="D119" s="462"/>
      <c r="E119" s="462"/>
      <c r="F119" s="462"/>
      <c r="G119" s="462"/>
      <c r="H119" s="462"/>
      <c r="I119" s="462"/>
      <c r="J119" s="462"/>
      <c r="K119" s="462"/>
      <c r="L119" s="462"/>
    </row>
    <row r="120" spans="4:12" x14ac:dyDescent="0.2">
      <c r="D120" s="462"/>
      <c r="E120" s="462"/>
      <c r="F120" s="462"/>
      <c r="G120" s="462"/>
      <c r="H120" s="462"/>
      <c r="I120" s="462"/>
      <c r="J120" s="462"/>
      <c r="K120" s="462"/>
      <c r="L120" s="462"/>
    </row>
    <row r="121" spans="4:12" x14ac:dyDescent="0.2">
      <c r="D121" s="462"/>
      <c r="E121" s="462"/>
      <c r="F121" s="462"/>
      <c r="G121" s="462"/>
      <c r="H121" s="462"/>
      <c r="I121" s="462"/>
      <c r="J121" s="462"/>
      <c r="K121" s="462"/>
      <c r="L121" s="462"/>
    </row>
    <row r="122" spans="4:12" x14ac:dyDescent="0.2">
      <c r="D122" s="462"/>
      <c r="E122" s="462"/>
      <c r="F122" s="462"/>
      <c r="G122" s="462"/>
      <c r="H122" s="462"/>
      <c r="I122" s="462"/>
      <c r="J122" s="462"/>
      <c r="K122" s="462"/>
      <c r="L122" s="462"/>
    </row>
    <row r="123" spans="4:12" x14ac:dyDescent="0.2">
      <c r="D123" s="462"/>
      <c r="E123" s="462"/>
      <c r="F123" s="462"/>
      <c r="G123" s="462"/>
      <c r="H123" s="462"/>
      <c r="I123" s="462"/>
      <c r="J123" s="462"/>
      <c r="K123" s="462"/>
      <c r="L123" s="462"/>
    </row>
    <row r="124" spans="4:12" x14ac:dyDescent="0.2">
      <c r="D124" s="462"/>
      <c r="E124" s="462"/>
      <c r="F124" s="462"/>
      <c r="G124" s="462"/>
      <c r="H124" s="462"/>
      <c r="I124" s="462"/>
      <c r="J124" s="462"/>
      <c r="K124" s="462"/>
      <c r="L124" s="462"/>
    </row>
    <row r="125" spans="4:12" x14ac:dyDescent="0.2">
      <c r="D125" s="462"/>
      <c r="E125" s="462"/>
      <c r="F125" s="462"/>
      <c r="G125" s="462"/>
      <c r="H125" s="462"/>
      <c r="I125" s="462"/>
      <c r="J125" s="462"/>
      <c r="K125" s="462"/>
      <c r="L125" s="462"/>
    </row>
    <row r="126" spans="4:12" x14ac:dyDescent="0.2">
      <c r="D126" s="462"/>
      <c r="E126" s="462"/>
      <c r="F126" s="462"/>
      <c r="G126" s="462"/>
      <c r="H126" s="462"/>
      <c r="I126" s="462"/>
      <c r="J126" s="462"/>
      <c r="K126" s="462"/>
      <c r="L126" s="462"/>
    </row>
    <row r="127" spans="4:12" x14ac:dyDescent="0.2">
      <c r="D127" s="462"/>
      <c r="E127" s="462"/>
      <c r="F127" s="462"/>
      <c r="G127" s="462"/>
      <c r="H127" s="462"/>
      <c r="I127" s="462"/>
      <c r="J127" s="462"/>
      <c r="K127" s="462"/>
      <c r="L127" s="462"/>
    </row>
    <row r="128" spans="4:12" x14ac:dyDescent="0.2">
      <c r="D128" s="462"/>
      <c r="E128" s="462"/>
      <c r="F128" s="462"/>
      <c r="G128" s="462"/>
      <c r="H128" s="462"/>
      <c r="I128" s="462"/>
      <c r="J128" s="462"/>
      <c r="K128" s="462"/>
      <c r="L128" s="462"/>
    </row>
    <row r="129" spans="4:12" x14ac:dyDescent="0.2">
      <c r="D129" s="462"/>
      <c r="E129" s="462"/>
      <c r="F129" s="462"/>
      <c r="G129" s="462"/>
      <c r="H129" s="462"/>
      <c r="I129" s="462"/>
      <c r="J129" s="462"/>
      <c r="K129" s="462"/>
      <c r="L129" s="462"/>
    </row>
    <row r="130" spans="4:12" x14ac:dyDescent="0.2">
      <c r="D130" s="462"/>
      <c r="E130" s="462"/>
      <c r="F130" s="462"/>
      <c r="G130" s="462"/>
      <c r="H130" s="462"/>
      <c r="I130" s="462"/>
      <c r="J130" s="462"/>
      <c r="K130" s="462"/>
      <c r="L130" s="462"/>
    </row>
    <row r="131" spans="4:12" x14ac:dyDescent="0.2">
      <c r="D131" s="462"/>
      <c r="E131" s="462"/>
      <c r="F131" s="462"/>
      <c r="G131" s="462"/>
      <c r="H131" s="462"/>
      <c r="I131" s="462"/>
      <c r="J131" s="462"/>
      <c r="K131" s="462"/>
      <c r="L131" s="462"/>
    </row>
    <row r="132" spans="4:12" x14ac:dyDescent="0.2">
      <c r="D132" s="462"/>
      <c r="E132" s="462"/>
      <c r="F132" s="462"/>
      <c r="G132" s="462"/>
      <c r="H132" s="462"/>
      <c r="I132" s="462"/>
      <c r="J132" s="462"/>
      <c r="K132" s="462"/>
      <c r="L132" s="462"/>
    </row>
    <row r="133" spans="4:12" x14ac:dyDescent="0.2">
      <c r="D133" s="462"/>
      <c r="E133" s="462"/>
      <c r="F133" s="462"/>
      <c r="G133" s="462"/>
      <c r="H133" s="462"/>
      <c r="I133" s="462"/>
      <c r="J133" s="462"/>
      <c r="K133" s="462"/>
      <c r="L133" s="462"/>
    </row>
    <row r="134" spans="4:12" x14ac:dyDescent="0.2">
      <c r="D134" s="462"/>
      <c r="E134" s="462"/>
      <c r="F134" s="462"/>
      <c r="G134" s="462"/>
      <c r="H134" s="462"/>
      <c r="I134" s="462"/>
      <c r="J134" s="462"/>
      <c r="K134" s="462"/>
      <c r="L134" s="462"/>
    </row>
    <row r="135" spans="4:12" x14ac:dyDescent="0.2">
      <c r="D135" s="462"/>
      <c r="E135" s="462"/>
      <c r="F135" s="462"/>
      <c r="G135" s="462"/>
      <c r="H135" s="462"/>
      <c r="I135" s="462"/>
      <c r="J135" s="462"/>
      <c r="K135" s="462"/>
      <c r="L135" s="462"/>
    </row>
    <row r="136" spans="4:12" x14ac:dyDescent="0.2">
      <c r="D136" s="462"/>
      <c r="E136" s="462"/>
      <c r="F136" s="462"/>
      <c r="G136" s="462"/>
      <c r="H136" s="462"/>
      <c r="I136" s="462"/>
      <c r="J136" s="462"/>
      <c r="K136" s="462"/>
      <c r="L136" s="462"/>
    </row>
    <row r="137" spans="4:12" x14ac:dyDescent="0.2">
      <c r="D137" s="462"/>
      <c r="E137" s="462"/>
      <c r="F137" s="462"/>
      <c r="G137" s="462"/>
      <c r="H137" s="462"/>
      <c r="I137" s="462"/>
      <c r="J137" s="462"/>
      <c r="K137" s="462"/>
      <c r="L137" s="462"/>
    </row>
    <row r="138" spans="4:12" x14ac:dyDescent="0.2">
      <c r="D138" s="462"/>
      <c r="E138" s="462"/>
      <c r="F138" s="462"/>
      <c r="G138" s="462"/>
      <c r="H138" s="462"/>
      <c r="I138" s="462"/>
      <c r="J138" s="462"/>
      <c r="K138" s="462"/>
      <c r="L138" s="462"/>
    </row>
    <row r="139" spans="4:12" x14ac:dyDescent="0.2">
      <c r="D139" s="462"/>
      <c r="E139" s="462"/>
      <c r="F139" s="462"/>
      <c r="G139" s="462"/>
      <c r="H139" s="462"/>
      <c r="I139" s="462"/>
      <c r="J139" s="462"/>
      <c r="K139" s="462"/>
      <c r="L139" s="462"/>
    </row>
    <row r="140" spans="4:12" x14ac:dyDescent="0.2">
      <c r="D140" s="462"/>
      <c r="E140" s="462"/>
      <c r="F140" s="462"/>
      <c r="G140" s="462"/>
      <c r="H140" s="462"/>
      <c r="I140" s="462"/>
      <c r="J140" s="462"/>
      <c r="K140" s="462"/>
      <c r="L140" s="462"/>
    </row>
    <row r="141" spans="4:12" x14ac:dyDescent="0.2">
      <c r="D141" s="462"/>
      <c r="E141" s="462"/>
      <c r="F141" s="462"/>
      <c r="G141" s="462"/>
      <c r="H141" s="462"/>
      <c r="I141" s="462"/>
      <c r="J141" s="462"/>
      <c r="K141" s="462"/>
      <c r="L141" s="462"/>
    </row>
    <row r="142" spans="4:12" x14ac:dyDescent="0.2">
      <c r="D142" s="462"/>
      <c r="E142" s="462"/>
      <c r="F142" s="462"/>
      <c r="G142" s="462"/>
      <c r="H142" s="462"/>
      <c r="I142" s="462"/>
      <c r="J142" s="462"/>
      <c r="K142" s="462"/>
      <c r="L142" s="462"/>
    </row>
    <row r="143" spans="4:12" x14ac:dyDescent="0.2">
      <c r="D143" s="462"/>
      <c r="E143" s="462"/>
      <c r="F143" s="462"/>
      <c r="G143" s="462"/>
      <c r="H143" s="462"/>
      <c r="I143" s="462"/>
      <c r="J143" s="462"/>
      <c r="K143" s="462"/>
      <c r="L143" s="462"/>
    </row>
    <row r="144" spans="4:12" x14ac:dyDescent="0.2">
      <c r="D144" s="462"/>
      <c r="E144" s="462"/>
      <c r="F144" s="462"/>
      <c r="G144" s="462"/>
      <c r="H144" s="462"/>
      <c r="I144" s="462"/>
      <c r="J144" s="462"/>
      <c r="K144" s="462"/>
      <c r="L144" s="462"/>
    </row>
    <row r="145" spans="4:12" x14ac:dyDescent="0.2">
      <c r="D145" s="462"/>
      <c r="E145" s="462"/>
      <c r="F145" s="462"/>
      <c r="G145" s="462"/>
      <c r="H145" s="462"/>
      <c r="I145" s="462"/>
      <c r="J145" s="462"/>
      <c r="K145" s="462"/>
      <c r="L145" s="462"/>
    </row>
    <row r="146" spans="4:12" x14ac:dyDescent="0.2">
      <c r="D146" s="462"/>
      <c r="E146" s="462"/>
      <c r="F146" s="462"/>
      <c r="G146" s="462"/>
      <c r="H146" s="462"/>
      <c r="I146" s="462"/>
      <c r="J146" s="462"/>
      <c r="K146" s="462"/>
      <c r="L146" s="462"/>
    </row>
    <row r="147" spans="4:12" x14ac:dyDescent="0.2">
      <c r="D147" s="462"/>
      <c r="E147" s="462"/>
      <c r="F147" s="462"/>
      <c r="G147" s="462"/>
      <c r="H147" s="462"/>
      <c r="I147" s="462"/>
      <c r="J147" s="462"/>
      <c r="K147" s="462"/>
      <c r="L147" s="462"/>
    </row>
    <row r="148" spans="4:12" x14ac:dyDescent="0.2">
      <c r="D148" s="462"/>
      <c r="E148" s="462"/>
      <c r="F148" s="462"/>
      <c r="G148" s="462"/>
      <c r="H148" s="462"/>
      <c r="I148" s="462"/>
      <c r="J148" s="462"/>
      <c r="K148" s="462"/>
      <c r="L148" s="462"/>
    </row>
    <row r="149" spans="4:12" x14ac:dyDescent="0.2">
      <c r="D149" s="462"/>
      <c r="E149" s="462"/>
      <c r="F149" s="462"/>
      <c r="G149" s="462"/>
      <c r="H149" s="462"/>
      <c r="I149" s="462"/>
      <c r="J149" s="462"/>
      <c r="K149" s="462"/>
      <c r="L149" s="462"/>
    </row>
    <row r="150" spans="4:12" x14ac:dyDescent="0.2">
      <c r="D150" s="462"/>
      <c r="E150" s="462"/>
      <c r="F150" s="462"/>
      <c r="G150" s="462"/>
      <c r="H150" s="462"/>
      <c r="I150" s="462"/>
      <c r="J150" s="462"/>
      <c r="K150" s="462"/>
      <c r="L150" s="462"/>
    </row>
    <row r="151" spans="4:12" x14ac:dyDescent="0.2">
      <c r="D151" s="462"/>
      <c r="E151" s="462"/>
      <c r="F151" s="462"/>
      <c r="G151" s="462"/>
      <c r="H151" s="462"/>
      <c r="I151" s="462"/>
      <c r="J151" s="462"/>
      <c r="K151" s="462"/>
      <c r="L151" s="462"/>
    </row>
    <row r="152" spans="4:12" x14ac:dyDescent="0.2">
      <c r="D152" s="462"/>
      <c r="E152" s="462"/>
      <c r="F152" s="462"/>
      <c r="G152" s="462"/>
      <c r="H152" s="462"/>
      <c r="I152" s="462"/>
      <c r="J152" s="462"/>
      <c r="K152" s="462"/>
      <c r="L152" s="462"/>
    </row>
    <row r="153" spans="4:12" x14ac:dyDescent="0.2">
      <c r="D153" s="462"/>
      <c r="E153" s="462"/>
      <c r="F153" s="462"/>
      <c r="G153" s="462"/>
      <c r="H153" s="462"/>
      <c r="I153" s="462"/>
      <c r="J153" s="462"/>
      <c r="K153" s="462"/>
      <c r="L153" s="462"/>
    </row>
    <row r="154" spans="4:12" x14ac:dyDescent="0.2">
      <c r="D154" s="462"/>
      <c r="E154" s="462"/>
      <c r="F154" s="462"/>
      <c r="G154" s="462"/>
      <c r="H154" s="462"/>
      <c r="I154" s="462"/>
      <c r="J154" s="462"/>
      <c r="K154" s="462"/>
      <c r="L154" s="462"/>
    </row>
    <row r="155" spans="4:12" x14ac:dyDescent="0.2">
      <c r="D155" s="462"/>
      <c r="E155" s="462"/>
      <c r="F155" s="462"/>
      <c r="G155" s="462"/>
      <c r="H155" s="462"/>
      <c r="I155" s="462"/>
      <c r="J155" s="462"/>
      <c r="K155" s="462"/>
      <c r="L155" s="462"/>
    </row>
    <row r="156" spans="4:12" x14ac:dyDescent="0.2">
      <c r="D156" s="462"/>
      <c r="E156" s="462"/>
      <c r="F156" s="462"/>
      <c r="G156" s="462"/>
      <c r="H156" s="462"/>
      <c r="I156" s="462"/>
      <c r="J156" s="462"/>
      <c r="K156" s="462"/>
      <c r="L156" s="462"/>
    </row>
    <row r="157" spans="4:12" x14ac:dyDescent="0.2">
      <c r="D157" s="462"/>
      <c r="E157" s="462"/>
      <c r="F157" s="462"/>
      <c r="G157" s="462"/>
      <c r="H157" s="462"/>
      <c r="I157" s="462"/>
      <c r="J157" s="462"/>
      <c r="K157" s="462"/>
      <c r="L157" s="462"/>
    </row>
    <row r="158" spans="4:12" x14ac:dyDescent="0.2">
      <c r="D158" s="462"/>
      <c r="E158" s="462"/>
      <c r="F158" s="462"/>
      <c r="G158" s="462"/>
      <c r="H158" s="462"/>
      <c r="I158" s="462"/>
      <c r="J158" s="462"/>
      <c r="K158" s="462"/>
      <c r="L158" s="462"/>
    </row>
    <row r="159" spans="4:12" x14ac:dyDescent="0.2">
      <c r="D159" s="462"/>
      <c r="E159" s="462"/>
      <c r="F159" s="462"/>
      <c r="G159" s="462"/>
      <c r="H159" s="462"/>
      <c r="I159" s="462"/>
      <c r="J159" s="462"/>
      <c r="K159" s="462"/>
      <c r="L159" s="462"/>
    </row>
    <row r="160" spans="4:12" x14ac:dyDescent="0.2">
      <c r="D160" s="462"/>
      <c r="E160" s="462"/>
      <c r="F160" s="462"/>
      <c r="G160" s="462"/>
      <c r="H160" s="462"/>
      <c r="I160" s="462"/>
      <c r="J160" s="462"/>
      <c r="K160" s="462"/>
      <c r="L160" s="462"/>
    </row>
    <row r="161" spans="4:12" x14ac:dyDescent="0.2">
      <c r="D161" s="462"/>
      <c r="E161" s="462"/>
      <c r="F161" s="462"/>
      <c r="G161" s="462"/>
      <c r="H161" s="462"/>
      <c r="I161" s="462"/>
      <c r="J161" s="462"/>
      <c r="K161" s="462"/>
      <c r="L161" s="462"/>
    </row>
    <row r="162" spans="4:12" x14ac:dyDescent="0.2">
      <c r="D162" s="462"/>
      <c r="E162" s="462"/>
      <c r="F162" s="462"/>
      <c r="G162" s="462"/>
      <c r="H162" s="462"/>
      <c r="I162" s="462"/>
      <c r="J162" s="462"/>
      <c r="K162" s="462"/>
      <c r="L162" s="462"/>
    </row>
    <row r="163" spans="4:12" x14ac:dyDescent="0.2">
      <c r="D163" s="462"/>
      <c r="E163" s="462"/>
      <c r="F163" s="462"/>
      <c r="G163" s="462"/>
      <c r="H163" s="462"/>
      <c r="I163" s="462"/>
      <c r="J163" s="462"/>
      <c r="K163" s="462"/>
      <c r="L163" s="462"/>
    </row>
    <row r="164" spans="4:12" x14ac:dyDescent="0.2">
      <c r="D164" s="462"/>
      <c r="E164" s="462"/>
      <c r="F164" s="462"/>
      <c r="G164" s="462"/>
      <c r="H164" s="462"/>
      <c r="I164" s="462"/>
      <c r="J164" s="462"/>
      <c r="K164" s="462"/>
      <c r="L164" s="462"/>
    </row>
    <row r="165" spans="4:12" x14ac:dyDescent="0.2">
      <c r="D165" s="462"/>
      <c r="E165" s="462"/>
      <c r="F165" s="462"/>
      <c r="G165" s="462"/>
      <c r="H165" s="462"/>
      <c r="I165" s="462"/>
      <c r="J165" s="462"/>
      <c r="K165" s="462"/>
      <c r="L165" s="462"/>
    </row>
    <row r="166" spans="4:12" x14ac:dyDescent="0.2">
      <c r="D166" s="462"/>
      <c r="E166" s="462"/>
      <c r="F166" s="462"/>
      <c r="G166" s="462"/>
      <c r="H166" s="462"/>
      <c r="I166" s="462"/>
      <c r="J166" s="462"/>
      <c r="K166" s="462"/>
      <c r="L166" s="462"/>
    </row>
    <row r="167" spans="4:12" x14ac:dyDescent="0.2">
      <c r="D167" s="462"/>
      <c r="E167" s="462"/>
      <c r="F167" s="462"/>
      <c r="G167" s="462"/>
      <c r="H167" s="462"/>
      <c r="I167" s="462"/>
      <c r="J167" s="462"/>
      <c r="K167" s="462"/>
      <c r="L167" s="462"/>
    </row>
    <row r="168" spans="4:12" x14ac:dyDescent="0.2">
      <c r="D168" s="462"/>
      <c r="E168" s="462"/>
      <c r="F168" s="462"/>
      <c r="G168" s="462"/>
      <c r="H168" s="462"/>
      <c r="I168" s="462"/>
      <c r="J168" s="462"/>
      <c r="K168" s="462"/>
      <c r="L168" s="462"/>
    </row>
    <row r="169" spans="4:12" x14ac:dyDescent="0.2">
      <c r="D169" s="462"/>
      <c r="E169" s="462"/>
      <c r="F169" s="462"/>
      <c r="G169" s="462"/>
      <c r="H169" s="462"/>
      <c r="I169" s="462"/>
      <c r="J169" s="462"/>
      <c r="K169" s="462"/>
      <c r="L169" s="462"/>
    </row>
    <row r="170" spans="4:12" x14ac:dyDescent="0.2">
      <c r="D170" s="462"/>
      <c r="E170" s="462"/>
      <c r="F170" s="462"/>
      <c r="G170" s="462"/>
      <c r="H170" s="462"/>
      <c r="I170" s="462"/>
      <c r="J170" s="462"/>
      <c r="K170" s="462"/>
      <c r="L170" s="462"/>
    </row>
    <row r="171" spans="4:12" x14ac:dyDescent="0.2">
      <c r="D171" s="462"/>
      <c r="E171" s="462"/>
      <c r="F171" s="462"/>
      <c r="G171" s="462"/>
      <c r="H171" s="462"/>
      <c r="I171" s="462"/>
      <c r="J171" s="462"/>
      <c r="K171" s="462"/>
      <c r="L171" s="462"/>
    </row>
    <row r="172" spans="4:12" x14ac:dyDescent="0.2">
      <c r="D172" s="462"/>
      <c r="E172" s="462"/>
      <c r="F172" s="462"/>
      <c r="G172" s="462"/>
      <c r="H172" s="462"/>
      <c r="I172" s="462"/>
      <c r="J172" s="462"/>
      <c r="K172" s="462"/>
      <c r="L172" s="462"/>
    </row>
    <row r="173" spans="4:12" x14ac:dyDescent="0.2">
      <c r="D173" s="462"/>
      <c r="E173" s="462"/>
      <c r="F173" s="462"/>
      <c r="G173" s="462"/>
      <c r="H173" s="462"/>
      <c r="I173" s="462"/>
      <c r="J173" s="462"/>
      <c r="K173" s="462"/>
      <c r="L173" s="462"/>
    </row>
    <row r="174" spans="4:12" x14ac:dyDescent="0.2">
      <c r="D174" s="462"/>
      <c r="E174" s="462"/>
      <c r="F174" s="462"/>
      <c r="G174" s="462"/>
      <c r="H174" s="462"/>
      <c r="I174" s="462"/>
      <c r="J174" s="462"/>
      <c r="K174" s="462"/>
      <c r="L174" s="462"/>
    </row>
    <row r="175" spans="4:12" x14ac:dyDescent="0.2">
      <c r="D175" s="462"/>
      <c r="E175" s="462"/>
      <c r="F175" s="462"/>
      <c r="G175" s="462"/>
      <c r="H175" s="462"/>
      <c r="I175" s="462"/>
      <c r="J175" s="462"/>
      <c r="K175" s="462"/>
      <c r="L175" s="462"/>
    </row>
    <row r="176" spans="4:12" x14ac:dyDescent="0.2">
      <c r="D176" s="462"/>
      <c r="E176" s="462"/>
      <c r="F176" s="462"/>
      <c r="G176" s="462"/>
      <c r="H176" s="462"/>
      <c r="I176" s="462"/>
      <c r="J176" s="462"/>
      <c r="K176" s="462"/>
      <c r="L176" s="462"/>
    </row>
    <row r="177" spans="4:12" x14ac:dyDescent="0.2">
      <c r="D177" s="462"/>
      <c r="E177" s="462"/>
      <c r="F177" s="462"/>
      <c r="G177" s="462"/>
      <c r="H177" s="462"/>
      <c r="I177" s="462"/>
      <c r="J177" s="462"/>
      <c r="K177" s="462"/>
      <c r="L177" s="462"/>
    </row>
    <row r="178" spans="4:12" x14ac:dyDescent="0.2">
      <c r="D178" s="462"/>
      <c r="E178" s="462"/>
      <c r="F178" s="462"/>
      <c r="G178" s="462"/>
      <c r="H178" s="462"/>
      <c r="I178" s="462"/>
      <c r="J178" s="462"/>
      <c r="K178" s="462"/>
      <c r="L178" s="462"/>
    </row>
    <row r="179" spans="4:12" x14ac:dyDescent="0.2">
      <c r="D179" s="462"/>
      <c r="E179" s="462"/>
      <c r="F179" s="462"/>
      <c r="G179" s="462"/>
      <c r="H179" s="462"/>
      <c r="I179" s="462"/>
      <c r="J179" s="462"/>
      <c r="K179" s="462"/>
      <c r="L179" s="462"/>
    </row>
    <row r="180" spans="4:12" x14ac:dyDescent="0.2">
      <c r="D180" s="462"/>
      <c r="E180" s="462"/>
      <c r="F180" s="462"/>
      <c r="G180" s="462"/>
      <c r="H180" s="462"/>
      <c r="I180" s="462"/>
      <c r="J180" s="462"/>
      <c r="K180" s="462"/>
      <c r="L180" s="462"/>
    </row>
    <row r="181" spans="4:12" x14ac:dyDescent="0.2">
      <c r="D181" s="462"/>
      <c r="E181" s="462"/>
      <c r="F181" s="462"/>
      <c r="G181" s="462"/>
      <c r="H181" s="462"/>
      <c r="I181" s="462"/>
      <c r="J181" s="462"/>
      <c r="K181" s="462"/>
      <c r="L181" s="462"/>
    </row>
    <row r="182" spans="4:12" x14ac:dyDescent="0.2">
      <c r="D182" s="462"/>
      <c r="E182" s="462"/>
      <c r="F182" s="462"/>
      <c r="G182" s="462"/>
      <c r="H182" s="462"/>
      <c r="I182" s="462"/>
      <c r="J182" s="462"/>
      <c r="K182" s="462"/>
      <c r="L182" s="462"/>
    </row>
    <row r="183" spans="4:12" x14ac:dyDescent="0.2">
      <c r="D183" s="462"/>
      <c r="E183" s="462"/>
      <c r="F183" s="462"/>
      <c r="G183" s="462"/>
      <c r="H183" s="462"/>
      <c r="I183" s="462"/>
      <c r="J183" s="462"/>
      <c r="K183" s="462"/>
      <c r="L183" s="462"/>
    </row>
    <row r="184" spans="4:12" x14ac:dyDescent="0.2">
      <c r="D184" s="462"/>
      <c r="E184" s="462"/>
      <c r="F184" s="462"/>
      <c r="G184" s="462"/>
      <c r="H184" s="462"/>
      <c r="I184" s="462"/>
      <c r="J184" s="462"/>
      <c r="K184" s="462"/>
      <c r="L184" s="462"/>
    </row>
    <row r="185" spans="4:12" x14ac:dyDescent="0.2">
      <c r="D185" s="462"/>
      <c r="E185" s="462"/>
      <c r="F185" s="462"/>
      <c r="G185" s="462"/>
      <c r="H185" s="462"/>
      <c r="I185" s="462"/>
      <c r="J185" s="462"/>
      <c r="K185" s="462"/>
      <c r="L185" s="462"/>
    </row>
    <row r="186" spans="4:12" x14ac:dyDescent="0.2">
      <c r="D186" s="462"/>
      <c r="E186" s="462"/>
      <c r="F186" s="462"/>
      <c r="G186" s="462"/>
      <c r="H186" s="462"/>
      <c r="I186" s="462"/>
      <c r="J186" s="462"/>
      <c r="K186" s="462"/>
      <c r="L186" s="462"/>
    </row>
    <row r="187" spans="4:12" x14ac:dyDescent="0.2">
      <c r="D187" s="462"/>
      <c r="E187" s="462"/>
      <c r="F187" s="462"/>
      <c r="G187" s="462"/>
      <c r="H187" s="462"/>
      <c r="I187" s="462"/>
      <c r="J187" s="462"/>
      <c r="K187" s="462"/>
      <c r="L187" s="462"/>
    </row>
    <row r="188" spans="4:12" x14ac:dyDescent="0.2">
      <c r="D188" s="462"/>
      <c r="E188" s="462"/>
      <c r="F188" s="462"/>
      <c r="G188" s="462"/>
      <c r="H188" s="462"/>
      <c r="I188" s="462"/>
      <c r="J188" s="462"/>
      <c r="K188" s="462"/>
      <c r="L188" s="462"/>
    </row>
    <row r="189" spans="4:12" x14ac:dyDescent="0.2">
      <c r="D189" s="462"/>
      <c r="E189" s="462"/>
      <c r="F189" s="462"/>
      <c r="G189" s="462"/>
      <c r="H189" s="462"/>
      <c r="I189" s="462"/>
      <c r="J189" s="462"/>
      <c r="K189" s="462"/>
      <c r="L189" s="462"/>
    </row>
    <row r="190" spans="4:12" x14ac:dyDescent="0.2">
      <c r="D190" s="462"/>
      <c r="E190" s="462"/>
      <c r="F190" s="462"/>
      <c r="G190" s="462"/>
      <c r="H190" s="462"/>
      <c r="I190" s="462"/>
      <c r="J190" s="462"/>
      <c r="K190" s="462"/>
      <c r="L190" s="462"/>
    </row>
    <row r="191" spans="4:12" x14ac:dyDescent="0.2">
      <c r="D191" s="462"/>
      <c r="E191" s="462"/>
      <c r="F191" s="462"/>
      <c r="G191" s="462"/>
      <c r="H191" s="462"/>
      <c r="I191" s="462"/>
      <c r="J191" s="462"/>
      <c r="K191" s="462"/>
      <c r="L191" s="462"/>
    </row>
    <row r="192" spans="4:12" x14ac:dyDescent="0.2">
      <c r="D192" s="462"/>
      <c r="E192" s="462"/>
      <c r="F192" s="462"/>
      <c r="G192" s="462"/>
      <c r="H192" s="462"/>
      <c r="I192" s="462"/>
      <c r="J192" s="462"/>
      <c r="K192" s="462"/>
      <c r="L192" s="462"/>
    </row>
    <row r="193" spans="4:12" x14ac:dyDescent="0.2">
      <c r="D193" s="462"/>
      <c r="E193" s="462"/>
      <c r="F193" s="462"/>
      <c r="G193" s="462"/>
      <c r="H193" s="462"/>
      <c r="I193" s="462"/>
      <c r="J193" s="462"/>
      <c r="K193" s="462"/>
      <c r="L193" s="462"/>
    </row>
    <row r="194" spans="4:12" x14ac:dyDescent="0.2">
      <c r="D194" s="462"/>
      <c r="E194" s="462"/>
      <c r="F194" s="462"/>
      <c r="G194" s="462"/>
      <c r="H194" s="462"/>
      <c r="I194" s="462"/>
      <c r="J194" s="462"/>
      <c r="K194" s="462"/>
      <c r="L194" s="462"/>
    </row>
    <row r="195" spans="4:12" x14ac:dyDescent="0.2">
      <c r="D195" s="462"/>
      <c r="E195" s="462"/>
      <c r="F195" s="462"/>
      <c r="G195" s="462"/>
      <c r="H195" s="462"/>
      <c r="I195" s="462"/>
      <c r="J195" s="462"/>
      <c r="K195" s="462"/>
      <c r="L195" s="462"/>
    </row>
    <row r="196" spans="4:12" x14ac:dyDescent="0.2">
      <c r="D196" s="462"/>
      <c r="E196" s="462"/>
      <c r="F196" s="462"/>
      <c r="G196" s="462"/>
      <c r="H196" s="462"/>
      <c r="I196" s="462"/>
      <c r="J196" s="462"/>
      <c r="K196" s="462"/>
      <c r="L196" s="462"/>
    </row>
    <row r="197" spans="4:12" x14ac:dyDescent="0.2">
      <c r="D197" s="462"/>
      <c r="E197" s="462"/>
      <c r="F197" s="462"/>
      <c r="G197" s="462"/>
      <c r="H197" s="462"/>
      <c r="I197" s="462"/>
      <c r="J197" s="462"/>
      <c r="K197" s="462"/>
      <c r="L197" s="462"/>
    </row>
    <row r="198" spans="4:12" x14ac:dyDescent="0.2">
      <c r="D198" s="462"/>
      <c r="E198" s="462"/>
      <c r="F198" s="462"/>
      <c r="G198" s="462"/>
      <c r="H198" s="462"/>
      <c r="I198" s="462"/>
      <c r="J198" s="462"/>
      <c r="K198" s="462"/>
      <c r="L198" s="462"/>
    </row>
    <row r="199" spans="4:12" x14ac:dyDescent="0.2">
      <c r="D199" s="462"/>
      <c r="E199" s="462"/>
      <c r="F199" s="462"/>
      <c r="G199" s="462"/>
      <c r="H199" s="462"/>
      <c r="I199" s="462"/>
      <c r="J199" s="462"/>
      <c r="K199" s="462"/>
      <c r="L199" s="462"/>
    </row>
    <row r="200" spans="4:12" x14ac:dyDescent="0.2">
      <c r="D200" s="462"/>
      <c r="E200" s="462"/>
      <c r="F200" s="462"/>
      <c r="G200" s="462"/>
      <c r="H200" s="462"/>
      <c r="I200" s="462"/>
      <c r="J200" s="462"/>
      <c r="K200" s="462"/>
      <c r="L200" s="462"/>
    </row>
    <row r="201" spans="4:12" x14ac:dyDescent="0.2">
      <c r="D201" s="462"/>
      <c r="E201" s="462"/>
      <c r="F201" s="462"/>
      <c r="G201" s="462"/>
      <c r="H201" s="462"/>
      <c r="I201" s="462"/>
      <c r="J201" s="462"/>
      <c r="K201" s="462"/>
      <c r="L201" s="462"/>
    </row>
    <row r="202" spans="4:12" x14ac:dyDescent="0.2">
      <c r="D202" s="462"/>
      <c r="E202" s="462"/>
      <c r="F202" s="462"/>
      <c r="G202" s="462"/>
      <c r="H202" s="462"/>
      <c r="I202" s="462"/>
      <c r="J202" s="462"/>
      <c r="K202" s="462"/>
      <c r="L202" s="462"/>
    </row>
    <row r="203" spans="4:12" x14ac:dyDescent="0.2">
      <c r="D203" s="462"/>
      <c r="E203" s="462"/>
      <c r="F203" s="462"/>
      <c r="G203" s="462"/>
      <c r="H203" s="462"/>
      <c r="I203" s="462"/>
      <c r="J203" s="462"/>
      <c r="K203" s="462"/>
      <c r="L203" s="462"/>
    </row>
    <row r="204" spans="4:12" x14ac:dyDescent="0.2">
      <c r="D204" s="462"/>
      <c r="E204" s="462"/>
      <c r="F204" s="462"/>
      <c r="G204" s="462"/>
      <c r="H204" s="462"/>
      <c r="I204" s="462"/>
      <c r="J204" s="462"/>
      <c r="K204" s="462"/>
      <c r="L204" s="462"/>
    </row>
    <row r="205" spans="4:12" x14ac:dyDescent="0.2">
      <c r="D205" s="462"/>
      <c r="E205" s="462"/>
      <c r="F205" s="462"/>
      <c r="G205" s="462"/>
      <c r="H205" s="462"/>
      <c r="I205" s="462"/>
      <c r="J205" s="462"/>
      <c r="K205" s="462"/>
      <c r="L205" s="462"/>
    </row>
    <row r="206" spans="4:12" x14ac:dyDescent="0.2">
      <c r="D206" s="462"/>
      <c r="E206" s="462"/>
      <c r="F206" s="462"/>
      <c r="G206" s="462"/>
      <c r="H206" s="462"/>
      <c r="I206" s="462"/>
      <c r="J206" s="462"/>
      <c r="K206" s="462"/>
      <c r="L206" s="462"/>
    </row>
    <row r="207" spans="4:12" x14ac:dyDescent="0.2">
      <c r="D207" s="462"/>
      <c r="E207" s="462"/>
      <c r="F207" s="462"/>
      <c r="G207" s="462"/>
      <c r="H207" s="462"/>
      <c r="I207" s="462"/>
      <c r="J207" s="462"/>
      <c r="K207" s="462"/>
      <c r="L207" s="462"/>
    </row>
    <row r="208" spans="4:12" x14ac:dyDescent="0.2">
      <c r="D208" s="462"/>
      <c r="E208" s="462"/>
      <c r="F208" s="462"/>
      <c r="G208" s="462"/>
      <c r="H208" s="462"/>
      <c r="I208" s="462"/>
      <c r="J208" s="462"/>
      <c r="K208" s="462"/>
      <c r="L208" s="462"/>
    </row>
    <row r="209" spans="4:12" x14ac:dyDescent="0.2">
      <c r="D209" s="462"/>
      <c r="E209" s="462"/>
      <c r="F209" s="462"/>
      <c r="G209" s="462"/>
      <c r="H209" s="462"/>
      <c r="I209" s="462"/>
      <c r="J209" s="462"/>
      <c r="K209" s="462"/>
      <c r="L209" s="462"/>
    </row>
    <row r="210" spans="4:12" x14ac:dyDescent="0.2">
      <c r="D210" s="462"/>
      <c r="E210" s="462"/>
      <c r="F210" s="462"/>
      <c r="G210" s="462"/>
      <c r="H210" s="462"/>
      <c r="I210" s="462"/>
      <c r="J210" s="462"/>
      <c r="K210" s="462"/>
      <c r="L210" s="462"/>
    </row>
    <row r="211" spans="4:12" x14ac:dyDescent="0.2">
      <c r="D211" s="462"/>
      <c r="E211" s="462"/>
      <c r="F211" s="462"/>
      <c r="G211" s="462"/>
      <c r="H211" s="462"/>
      <c r="I211" s="462"/>
      <c r="J211" s="462"/>
      <c r="K211" s="462"/>
      <c r="L211" s="462"/>
    </row>
    <row r="212" spans="4:12" x14ac:dyDescent="0.2">
      <c r="D212" s="462"/>
      <c r="E212" s="462"/>
      <c r="F212" s="462"/>
      <c r="G212" s="462"/>
      <c r="H212" s="462"/>
      <c r="I212" s="462"/>
      <c r="J212" s="462"/>
      <c r="K212" s="462"/>
      <c r="L212" s="462"/>
    </row>
    <row r="213" spans="4:12" x14ac:dyDescent="0.2">
      <c r="D213" s="462"/>
      <c r="E213" s="462"/>
      <c r="F213" s="462"/>
      <c r="G213" s="462"/>
      <c r="H213" s="462"/>
      <c r="I213" s="462"/>
      <c r="J213" s="462"/>
      <c r="K213" s="462"/>
      <c r="L213" s="462"/>
    </row>
    <row r="214" spans="4:12" x14ac:dyDescent="0.2">
      <c r="D214" s="462"/>
      <c r="E214" s="462"/>
      <c r="F214" s="462"/>
      <c r="G214" s="462"/>
      <c r="H214" s="462"/>
      <c r="I214" s="462"/>
      <c r="J214" s="462"/>
      <c r="K214" s="462"/>
      <c r="L214" s="462"/>
    </row>
    <row r="215" spans="4:12" x14ac:dyDescent="0.2">
      <c r="D215" s="462"/>
      <c r="E215" s="462"/>
      <c r="F215" s="462"/>
      <c r="G215" s="462"/>
      <c r="H215" s="462"/>
      <c r="I215" s="462"/>
      <c r="J215" s="462"/>
      <c r="K215" s="462"/>
      <c r="L215" s="462"/>
    </row>
    <row r="216" spans="4:12" x14ac:dyDescent="0.2">
      <c r="D216" s="462"/>
      <c r="E216" s="462"/>
      <c r="F216" s="462"/>
      <c r="G216" s="462"/>
      <c r="H216" s="462"/>
      <c r="I216" s="462"/>
      <c r="J216" s="462"/>
      <c r="K216" s="462"/>
      <c r="L216" s="462"/>
    </row>
    <row r="217" spans="4:12" x14ac:dyDescent="0.2">
      <c r="D217" s="462"/>
      <c r="E217" s="462"/>
      <c r="F217" s="462"/>
      <c r="G217" s="462"/>
      <c r="H217" s="462"/>
      <c r="I217" s="462"/>
      <c r="J217" s="462"/>
      <c r="K217" s="462"/>
      <c r="L217" s="462"/>
    </row>
    <row r="218" spans="4:12" x14ac:dyDescent="0.2">
      <c r="D218" s="462"/>
      <c r="E218" s="462"/>
      <c r="F218" s="462"/>
      <c r="G218" s="462"/>
      <c r="H218" s="462"/>
      <c r="I218" s="462"/>
      <c r="J218" s="462"/>
      <c r="K218" s="462"/>
      <c r="L218" s="462"/>
    </row>
    <row r="219" spans="4:12" x14ac:dyDescent="0.2">
      <c r="D219" s="462"/>
      <c r="E219" s="462"/>
      <c r="F219" s="462"/>
      <c r="G219" s="462"/>
      <c r="H219" s="462"/>
      <c r="I219" s="462"/>
      <c r="J219" s="462"/>
      <c r="K219" s="462"/>
      <c r="L219" s="462"/>
    </row>
    <row r="220" spans="4:12" x14ac:dyDescent="0.2">
      <c r="D220" s="462"/>
      <c r="E220" s="462"/>
      <c r="F220" s="462"/>
      <c r="G220" s="462"/>
      <c r="H220" s="462"/>
      <c r="I220" s="462"/>
      <c r="J220" s="462"/>
      <c r="K220" s="462"/>
      <c r="L220" s="462"/>
    </row>
    <row r="221" spans="4:12" x14ac:dyDescent="0.2">
      <c r="D221" s="462"/>
      <c r="E221" s="462"/>
      <c r="F221" s="462"/>
      <c r="G221" s="462"/>
      <c r="H221" s="462"/>
      <c r="I221" s="462"/>
      <c r="J221" s="462"/>
      <c r="K221" s="462"/>
      <c r="L221" s="462"/>
    </row>
    <row r="222" spans="4:12" x14ac:dyDescent="0.2">
      <c r="D222" s="462"/>
      <c r="E222" s="462"/>
      <c r="F222" s="462"/>
      <c r="G222" s="462"/>
      <c r="H222" s="462"/>
      <c r="I222" s="462"/>
      <c r="J222" s="462"/>
      <c r="K222" s="462"/>
      <c r="L222" s="462"/>
    </row>
    <row r="223" spans="4:12" x14ac:dyDescent="0.2">
      <c r="D223" s="462"/>
      <c r="E223" s="462"/>
      <c r="F223" s="462"/>
      <c r="G223" s="462"/>
      <c r="H223" s="462"/>
      <c r="I223" s="462"/>
      <c r="J223" s="462"/>
      <c r="K223" s="462"/>
      <c r="L223" s="462"/>
    </row>
    <row r="224" spans="4:12" x14ac:dyDescent="0.2">
      <c r="D224" s="462"/>
      <c r="E224" s="462"/>
      <c r="F224" s="462"/>
      <c r="G224" s="462"/>
      <c r="H224" s="462"/>
      <c r="I224" s="462"/>
      <c r="J224" s="462"/>
      <c r="K224" s="462"/>
      <c r="L224" s="462"/>
    </row>
    <row r="225" spans="4:12" x14ac:dyDescent="0.2">
      <c r="D225" s="462"/>
      <c r="E225" s="462"/>
      <c r="F225" s="462"/>
      <c r="G225" s="462"/>
      <c r="H225" s="462"/>
      <c r="I225" s="462"/>
      <c r="J225" s="462"/>
      <c r="K225" s="462"/>
      <c r="L225" s="462"/>
    </row>
    <row r="226" spans="4:12" x14ac:dyDescent="0.2">
      <c r="D226" s="462"/>
      <c r="E226" s="462"/>
      <c r="F226" s="462"/>
      <c r="G226" s="462"/>
      <c r="H226" s="462"/>
      <c r="I226" s="462"/>
      <c r="J226" s="462"/>
      <c r="K226" s="462"/>
      <c r="L226" s="462"/>
    </row>
    <row r="227" spans="4:12" x14ac:dyDescent="0.2">
      <c r="D227" s="462"/>
      <c r="E227" s="462"/>
      <c r="F227" s="462"/>
      <c r="G227" s="462"/>
      <c r="H227" s="462"/>
      <c r="I227" s="462"/>
      <c r="J227" s="462"/>
      <c r="K227" s="462"/>
      <c r="L227" s="462"/>
    </row>
    <row r="228" spans="4:12" x14ac:dyDescent="0.2">
      <c r="D228" s="462"/>
      <c r="E228" s="462"/>
      <c r="F228" s="462"/>
      <c r="G228" s="462"/>
      <c r="H228" s="462"/>
      <c r="I228" s="462"/>
      <c r="J228" s="462"/>
      <c r="K228" s="462"/>
      <c r="L228" s="462"/>
    </row>
    <row r="229" spans="4:12" x14ac:dyDescent="0.2">
      <c r="D229" s="462"/>
      <c r="E229" s="462"/>
      <c r="F229" s="462"/>
      <c r="G229" s="462"/>
      <c r="H229" s="462"/>
      <c r="I229" s="462"/>
      <c r="J229" s="462"/>
      <c r="K229" s="462"/>
      <c r="L229" s="462"/>
    </row>
    <row r="230" spans="4:12" x14ac:dyDescent="0.2">
      <c r="D230" s="462"/>
      <c r="E230" s="462"/>
      <c r="F230" s="462"/>
      <c r="G230" s="462"/>
      <c r="H230" s="462"/>
      <c r="I230" s="462"/>
      <c r="J230" s="462"/>
      <c r="K230" s="462"/>
      <c r="L230" s="462"/>
    </row>
    <row r="231" spans="4:12" x14ac:dyDescent="0.2">
      <c r="D231" s="462"/>
      <c r="E231" s="462"/>
      <c r="F231" s="462"/>
      <c r="G231" s="462"/>
      <c r="H231" s="462"/>
      <c r="I231" s="462"/>
      <c r="J231" s="462"/>
      <c r="K231" s="462"/>
      <c r="L231" s="462"/>
    </row>
    <row r="232" spans="4:12" x14ac:dyDescent="0.2">
      <c r="D232" s="462"/>
      <c r="E232" s="462"/>
      <c r="F232" s="462"/>
      <c r="G232" s="462"/>
      <c r="H232" s="462"/>
      <c r="I232" s="462"/>
      <c r="J232" s="462"/>
      <c r="K232" s="462"/>
      <c r="L232" s="462"/>
    </row>
    <row r="233" spans="4:12" x14ac:dyDescent="0.2">
      <c r="D233" s="462"/>
      <c r="E233" s="462"/>
      <c r="F233" s="462"/>
      <c r="G233" s="462"/>
      <c r="H233" s="462"/>
      <c r="I233" s="462"/>
      <c r="J233" s="462"/>
      <c r="K233" s="462"/>
      <c r="L233" s="462"/>
    </row>
    <row r="234" spans="4:12" x14ac:dyDescent="0.2">
      <c r="D234" s="462"/>
      <c r="E234" s="462"/>
      <c r="F234" s="462"/>
      <c r="G234" s="462"/>
      <c r="H234" s="462"/>
      <c r="I234" s="462"/>
      <c r="J234" s="462"/>
      <c r="K234" s="462"/>
      <c r="L234" s="462"/>
    </row>
    <row r="235" spans="4:12" x14ac:dyDescent="0.2">
      <c r="D235" s="462"/>
      <c r="E235" s="462"/>
      <c r="F235" s="462"/>
      <c r="G235" s="462"/>
      <c r="H235" s="462"/>
      <c r="I235" s="462"/>
      <c r="J235" s="462"/>
      <c r="K235" s="462"/>
      <c r="L235" s="462"/>
    </row>
    <row r="236" spans="4:12" x14ac:dyDescent="0.2">
      <c r="D236" s="462"/>
      <c r="E236" s="462"/>
      <c r="F236" s="462"/>
      <c r="G236" s="462"/>
      <c r="H236" s="462"/>
      <c r="I236" s="462"/>
      <c r="J236" s="462"/>
      <c r="K236" s="462"/>
      <c r="L236" s="462"/>
    </row>
    <row r="237" spans="4:12" x14ac:dyDescent="0.2">
      <c r="D237" s="462"/>
      <c r="E237" s="462"/>
      <c r="F237" s="462"/>
      <c r="G237" s="462"/>
      <c r="H237" s="462"/>
      <c r="I237" s="462"/>
      <c r="J237" s="462"/>
      <c r="K237" s="462"/>
      <c r="L237" s="462"/>
    </row>
    <row r="238" spans="4:12" x14ac:dyDescent="0.2">
      <c r="D238" s="462"/>
      <c r="E238" s="462"/>
      <c r="F238" s="462"/>
      <c r="G238" s="462"/>
      <c r="H238" s="462"/>
      <c r="I238" s="462"/>
      <c r="J238" s="462"/>
      <c r="K238" s="462"/>
      <c r="L238" s="462"/>
    </row>
    <row r="239" spans="4:12" x14ac:dyDescent="0.2">
      <c r="D239" s="462"/>
      <c r="E239" s="462"/>
      <c r="F239" s="462"/>
      <c r="G239" s="462"/>
      <c r="H239" s="462"/>
      <c r="I239" s="462"/>
      <c r="J239" s="462"/>
      <c r="K239" s="462"/>
      <c r="L239" s="462"/>
    </row>
    <row r="240" spans="4:12" x14ac:dyDescent="0.2">
      <c r="D240" s="462"/>
      <c r="E240" s="462"/>
      <c r="F240" s="462"/>
      <c r="G240" s="462"/>
      <c r="H240" s="462"/>
      <c r="I240" s="462"/>
      <c r="J240" s="462"/>
      <c r="K240" s="462"/>
      <c r="L240" s="462"/>
    </row>
    <row r="241" spans="4:12" x14ac:dyDescent="0.2">
      <c r="D241" s="462"/>
      <c r="E241" s="462"/>
      <c r="F241" s="462"/>
      <c r="G241" s="462"/>
      <c r="H241" s="462"/>
      <c r="I241" s="462"/>
      <c r="J241" s="462"/>
      <c r="K241" s="462"/>
      <c r="L241" s="462"/>
    </row>
    <row r="242" spans="4:12" x14ac:dyDescent="0.2">
      <c r="D242" s="462"/>
      <c r="E242" s="462"/>
      <c r="F242" s="462"/>
      <c r="G242" s="462"/>
      <c r="H242" s="462"/>
      <c r="I242" s="462"/>
      <c r="J242" s="462"/>
      <c r="K242" s="462"/>
      <c r="L242" s="462"/>
    </row>
    <row r="243" spans="4:12" x14ac:dyDescent="0.2">
      <c r="D243" s="462"/>
      <c r="E243" s="462"/>
      <c r="F243" s="462"/>
      <c r="G243" s="462"/>
      <c r="H243" s="462"/>
      <c r="I243" s="462"/>
      <c r="J243" s="462"/>
      <c r="K243" s="462"/>
      <c r="L243" s="462"/>
    </row>
    <row r="244" spans="4:12" x14ac:dyDescent="0.2">
      <c r="D244" s="462"/>
      <c r="E244" s="462"/>
      <c r="F244" s="462"/>
      <c r="G244" s="462"/>
      <c r="H244" s="462"/>
      <c r="I244" s="462"/>
      <c r="J244" s="462"/>
      <c r="K244" s="462"/>
      <c r="L244" s="462"/>
    </row>
    <row r="245" spans="4:12" x14ac:dyDescent="0.2">
      <c r="D245" s="462"/>
      <c r="E245" s="462"/>
      <c r="F245" s="462"/>
      <c r="G245" s="462"/>
      <c r="H245" s="462"/>
      <c r="I245" s="462"/>
      <c r="J245" s="462"/>
      <c r="K245" s="462"/>
      <c r="L245" s="462"/>
    </row>
    <row r="246" spans="4:12" x14ac:dyDescent="0.2">
      <c r="D246" s="462"/>
      <c r="E246" s="462"/>
      <c r="F246" s="462"/>
      <c r="G246" s="462"/>
      <c r="H246" s="462"/>
      <c r="I246" s="462"/>
      <c r="J246" s="462"/>
      <c r="K246" s="462"/>
      <c r="L246" s="462"/>
    </row>
    <row r="247" spans="4:12" x14ac:dyDescent="0.2">
      <c r="D247" s="462"/>
      <c r="E247" s="462"/>
      <c r="F247" s="462"/>
      <c r="G247" s="462"/>
      <c r="H247" s="462"/>
      <c r="I247" s="462"/>
      <c r="J247" s="462"/>
      <c r="K247" s="462"/>
      <c r="L247" s="462"/>
    </row>
    <row r="248" spans="4:12" x14ac:dyDescent="0.2">
      <c r="D248" s="462"/>
      <c r="E248" s="462"/>
      <c r="F248" s="462"/>
      <c r="G248" s="462"/>
      <c r="H248" s="462"/>
      <c r="I248" s="462"/>
      <c r="J248" s="462"/>
      <c r="K248" s="462"/>
      <c r="L248" s="462"/>
    </row>
    <row r="249" spans="4:12" x14ac:dyDescent="0.2">
      <c r="D249" s="462"/>
      <c r="E249" s="462"/>
      <c r="F249" s="462"/>
      <c r="G249" s="462"/>
      <c r="H249" s="462"/>
      <c r="I249" s="462"/>
      <c r="J249" s="462"/>
      <c r="K249" s="462"/>
      <c r="L249" s="462"/>
    </row>
    <row r="250" spans="4:12" x14ac:dyDescent="0.2">
      <c r="D250" s="462"/>
      <c r="E250" s="462"/>
      <c r="F250" s="462"/>
      <c r="G250" s="462"/>
      <c r="H250" s="462"/>
      <c r="I250" s="462"/>
      <c r="J250" s="462"/>
      <c r="K250" s="462"/>
      <c r="L250" s="462"/>
    </row>
    <row r="251" spans="4:12" x14ac:dyDescent="0.2">
      <c r="D251" s="462"/>
      <c r="E251" s="462"/>
      <c r="F251" s="462"/>
      <c r="G251" s="462"/>
      <c r="H251" s="462"/>
      <c r="I251" s="462"/>
      <c r="J251" s="462"/>
      <c r="K251" s="462"/>
      <c r="L251" s="462"/>
    </row>
    <row r="252" spans="4:12" x14ac:dyDescent="0.2">
      <c r="D252" s="462"/>
      <c r="E252" s="462"/>
      <c r="F252" s="462"/>
      <c r="G252" s="462"/>
      <c r="H252" s="462"/>
      <c r="I252" s="462"/>
      <c r="J252" s="462"/>
      <c r="K252" s="462"/>
      <c r="L252" s="462"/>
    </row>
    <row r="253" spans="4:12" x14ac:dyDescent="0.2">
      <c r="D253" s="462"/>
      <c r="E253" s="462"/>
      <c r="F253" s="462"/>
      <c r="G253" s="462"/>
      <c r="H253" s="462"/>
      <c r="I253" s="462"/>
      <c r="J253" s="462"/>
      <c r="K253" s="462"/>
      <c r="L253" s="462"/>
    </row>
    <row r="254" spans="4:12" x14ac:dyDescent="0.2">
      <c r="D254" s="462"/>
      <c r="E254" s="462"/>
      <c r="F254" s="462"/>
      <c r="G254" s="462"/>
      <c r="H254" s="462"/>
      <c r="I254" s="462"/>
      <c r="J254" s="462"/>
      <c r="K254" s="462"/>
      <c r="L254" s="462"/>
    </row>
    <row r="255" spans="4:12" x14ac:dyDescent="0.2">
      <c r="D255" s="462"/>
      <c r="E255" s="462"/>
      <c r="F255" s="462"/>
      <c r="G255" s="462"/>
      <c r="H255" s="462"/>
      <c r="I255" s="462"/>
      <c r="J255" s="462"/>
      <c r="K255" s="462"/>
      <c r="L255" s="462"/>
    </row>
    <row r="256" spans="4:12" x14ac:dyDescent="0.2">
      <c r="D256" s="462"/>
      <c r="E256" s="462"/>
      <c r="F256" s="462"/>
      <c r="G256" s="462"/>
      <c r="H256" s="462"/>
      <c r="I256" s="462"/>
      <c r="J256" s="462"/>
      <c r="K256" s="462"/>
      <c r="L256" s="462"/>
    </row>
    <row r="257" spans="4:12" x14ac:dyDescent="0.2">
      <c r="D257" s="462"/>
      <c r="E257" s="462"/>
      <c r="F257" s="462"/>
      <c r="G257" s="462"/>
      <c r="H257" s="462"/>
      <c r="I257" s="462"/>
      <c r="J257" s="462"/>
      <c r="K257" s="462"/>
      <c r="L257" s="462"/>
    </row>
    <row r="258" spans="4:12" x14ac:dyDescent="0.2">
      <c r="D258" s="462"/>
      <c r="E258" s="462"/>
      <c r="F258" s="462"/>
      <c r="G258" s="462"/>
      <c r="H258" s="462"/>
      <c r="I258" s="462"/>
      <c r="J258" s="462"/>
      <c r="K258" s="462"/>
      <c r="L258" s="462"/>
    </row>
    <row r="259" spans="4:12" x14ac:dyDescent="0.2">
      <c r="D259" s="462"/>
      <c r="E259" s="462"/>
      <c r="F259" s="462"/>
      <c r="G259" s="462"/>
      <c r="H259" s="462"/>
      <c r="I259" s="462"/>
      <c r="J259" s="462"/>
      <c r="K259" s="462"/>
      <c r="L259" s="462"/>
    </row>
    <row r="260" spans="4:12" x14ac:dyDescent="0.2">
      <c r="D260" s="462"/>
      <c r="E260" s="462"/>
      <c r="F260" s="462"/>
      <c r="G260" s="462"/>
      <c r="H260" s="462"/>
      <c r="I260" s="462"/>
      <c r="J260" s="462"/>
      <c r="K260" s="462"/>
      <c r="L260" s="462"/>
    </row>
    <row r="261" spans="4:12" x14ac:dyDescent="0.2">
      <c r="D261" s="462"/>
      <c r="E261" s="462"/>
      <c r="F261" s="462"/>
      <c r="G261" s="462"/>
      <c r="H261" s="462"/>
      <c r="I261" s="462"/>
      <c r="J261" s="462"/>
      <c r="K261" s="462"/>
      <c r="L261" s="462"/>
    </row>
    <row r="262" spans="4:12" x14ac:dyDescent="0.2">
      <c r="D262" s="462"/>
      <c r="E262" s="462"/>
      <c r="F262" s="462"/>
      <c r="G262" s="462"/>
      <c r="H262" s="462"/>
      <c r="I262" s="462"/>
      <c r="J262" s="462"/>
      <c r="K262" s="462"/>
      <c r="L262" s="462"/>
    </row>
    <row r="263" spans="4:12" x14ac:dyDescent="0.2">
      <c r="D263" s="462"/>
      <c r="E263" s="462"/>
      <c r="F263" s="462"/>
      <c r="G263" s="462"/>
      <c r="H263" s="462"/>
      <c r="I263" s="462"/>
      <c r="J263" s="462"/>
      <c r="K263" s="462"/>
      <c r="L263" s="462"/>
    </row>
    <row r="264" spans="4:12" x14ac:dyDescent="0.2">
      <c r="D264" s="462"/>
      <c r="E264" s="462"/>
      <c r="F264" s="462"/>
      <c r="G264" s="462"/>
      <c r="H264" s="462"/>
      <c r="I264" s="462"/>
      <c r="J264" s="462"/>
      <c r="K264" s="462"/>
      <c r="L264" s="462"/>
    </row>
    <row r="265" spans="4:12" x14ac:dyDescent="0.2">
      <c r="D265" s="462"/>
      <c r="E265" s="462"/>
      <c r="F265" s="462"/>
      <c r="G265" s="462"/>
      <c r="H265" s="462"/>
      <c r="I265" s="462"/>
      <c r="J265" s="462"/>
      <c r="K265" s="462"/>
      <c r="L265" s="462"/>
    </row>
    <row r="266" spans="4:12" x14ac:dyDescent="0.2">
      <c r="D266" s="462"/>
      <c r="E266" s="462"/>
      <c r="F266" s="462"/>
      <c r="G266" s="462"/>
      <c r="H266" s="462"/>
      <c r="I266" s="462"/>
      <c r="J266" s="462"/>
      <c r="K266" s="462"/>
      <c r="L266" s="462"/>
    </row>
    <row r="267" spans="4:12" x14ac:dyDescent="0.2">
      <c r="D267" s="462"/>
      <c r="E267" s="462"/>
      <c r="F267" s="462"/>
      <c r="G267" s="462"/>
      <c r="H267" s="462"/>
      <c r="I267" s="462"/>
      <c r="J267" s="462"/>
      <c r="K267" s="462"/>
      <c r="L267" s="462"/>
    </row>
    <row r="268" spans="4:12" x14ac:dyDescent="0.2">
      <c r="D268" s="462"/>
      <c r="E268" s="462"/>
      <c r="F268" s="462"/>
      <c r="G268" s="462"/>
      <c r="H268" s="462"/>
      <c r="I268" s="462"/>
      <c r="J268" s="462"/>
      <c r="K268" s="462"/>
      <c r="L268" s="462"/>
    </row>
    <row r="269" spans="4:12" x14ac:dyDescent="0.2">
      <c r="D269" s="462"/>
      <c r="E269" s="462"/>
      <c r="F269" s="462"/>
      <c r="G269" s="462"/>
      <c r="H269" s="462"/>
      <c r="I269" s="462"/>
      <c r="J269" s="462"/>
      <c r="K269" s="462"/>
      <c r="L269" s="462"/>
    </row>
    <row r="270" spans="4:12" x14ac:dyDescent="0.2">
      <c r="D270" s="462"/>
      <c r="E270" s="462"/>
      <c r="F270" s="462"/>
      <c r="G270" s="462"/>
      <c r="H270" s="462"/>
      <c r="I270" s="462"/>
      <c r="J270" s="462"/>
      <c r="K270" s="462"/>
      <c r="L270" s="462"/>
    </row>
    <row r="271" spans="4:12" x14ac:dyDescent="0.2">
      <c r="D271" s="462"/>
      <c r="E271" s="462"/>
      <c r="F271" s="462"/>
      <c r="G271" s="462"/>
      <c r="H271" s="462"/>
      <c r="I271" s="462"/>
      <c r="J271" s="462"/>
      <c r="K271" s="462"/>
      <c r="L271" s="462"/>
    </row>
    <row r="272" spans="4:12" x14ac:dyDescent="0.2">
      <c r="D272" s="462"/>
      <c r="E272" s="462"/>
      <c r="F272" s="462"/>
      <c r="G272" s="462"/>
      <c r="H272" s="462"/>
      <c r="I272" s="462"/>
      <c r="J272" s="462"/>
      <c r="K272" s="462"/>
      <c r="L272" s="462"/>
    </row>
    <row r="273" spans="4:12" x14ac:dyDescent="0.2">
      <c r="D273" s="462"/>
      <c r="E273" s="462"/>
      <c r="F273" s="462"/>
      <c r="G273" s="462"/>
      <c r="H273" s="462"/>
      <c r="I273" s="462"/>
      <c r="J273" s="462"/>
      <c r="K273" s="462"/>
      <c r="L273" s="462"/>
    </row>
    <row r="274" spans="4:12" x14ac:dyDescent="0.2">
      <c r="D274" s="462"/>
      <c r="E274" s="462"/>
      <c r="F274" s="462"/>
      <c r="G274" s="462"/>
      <c r="H274" s="462"/>
      <c r="I274" s="462"/>
      <c r="J274" s="462"/>
      <c r="K274" s="462"/>
      <c r="L274" s="462"/>
    </row>
    <row r="275" spans="4:12" x14ac:dyDescent="0.2">
      <c r="D275" s="462"/>
      <c r="E275" s="462"/>
      <c r="F275" s="462"/>
      <c r="G275" s="462"/>
      <c r="H275" s="462"/>
      <c r="I275" s="462"/>
      <c r="J275" s="462"/>
      <c r="K275" s="462"/>
      <c r="L275" s="462"/>
    </row>
    <row r="276" spans="4:12" x14ac:dyDescent="0.2">
      <c r="D276" s="462"/>
      <c r="E276" s="462"/>
      <c r="F276" s="462"/>
      <c r="G276" s="462"/>
      <c r="H276" s="462"/>
      <c r="I276" s="462"/>
      <c r="J276" s="462"/>
      <c r="K276" s="462"/>
      <c r="L276" s="462"/>
    </row>
    <row r="277" spans="4:12" x14ac:dyDescent="0.2">
      <c r="D277" s="462"/>
      <c r="E277" s="462"/>
      <c r="F277" s="462"/>
      <c r="G277" s="462"/>
      <c r="H277" s="462"/>
      <c r="I277" s="462"/>
      <c r="J277" s="462"/>
      <c r="K277" s="462"/>
      <c r="L277" s="462"/>
    </row>
    <row r="278" spans="4:12" x14ac:dyDescent="0.2">
      <c r="D278" s="462"/>
      <c r="E278" s="462"/>
      <c r="F278" s="462"/>
      <c r="G278" s="462"/>
      <c r="H278" s="462"/>
      <c r="I278" s="462"/>
      <c r="J278" s="462"/>
      <c r="K278" s="462"/>
      <c r="L278" s="462"/>
    </row>
    <row r="279" spans="4:12" x14ac:dyDescent="0.2">
      <c r="D279" s="462"/>
      <c r="E279" s="462"/>
      <c r="F279" s="462"/>
      <c r="G279" s="462"/>
      <c r="H279" s="462"/>
      <c r="I279" s="462"/>
      <c r="J279" s="462"/>
      <c r="K279" s="462"/>
      <c r="L279" s="462"/>
    </row>
    <row r="280" spans="4:12" x14ac:dyDescent="0.2">
      <c r="D280" s="462"/>
      <c r="E280" s="462"/>
      <c r="F280" s="462"/>
      <c r="G280" s="462"/>
      <c r="H280" s="462"/>
      <c r="I280" s="462"/>
      <c r="J280" s="462"/>
      <c r="K280" s="462"/>
      <c r="L280" s="462"/>
    </row>
    <row r="281" spans="4:12" x14ac:dyDescent="0.2">
      <c r="D281" s="462"/>
      <c r="E281" s="462"/>
      <c r="F281" s="462"/>
      <c r="G281" s="462"/>
      <c r="H281" s="462"/>
      <c r="I281" s="462"/>
      <c r="J281" s="462"/>
      <c r="K281" s="462"/>
      <c r="L281" s="462"/>
    </row>
    <row r="282" spans="4:12" x14ac:dyDescent="0.2">
      <c r="D282" s="462"/>
      <c r="E282" s="462"/>
      <c r="F282" s="462"/>
      <c r="G282" s="462"/>
      <c r="H282" s="462"/>
      <c r="I282" s="462"/>
      <c r="J282" s="462"/>
      <c r="K282" s="462"/>
      <c r="L282" s="462"/>
    </row>
    <row r="283" spans="4:12" x14ac:dyDescent="0.2">
      <c r="D283" s="462"/>
      <c r="E283" s="462"/>
      <c r="F283" s="462"/>
      <c r="G283" s="462"/>
      <c r="H283" s="462"/>
      <c r="I283" s="462"/>
      <c r="J283" s="462"/>
      <c r="K283" s="462"/>
      <c r="L283" s="462"/>
    </row>
    <row r="284" spans="4:12" x14ac:dyDescent="0.2">
      <c r="D284" s="462"/>
      <c r="E284" s="462"/>
      <c r="F284" s="462"/>
      <c r="G284" s="462"/>
      <c r="H284" s="462"/>
      <c r="I284" s="462"/>
      <c r="J284" s="462"/>
      <c r="K284" s="462"/>
      <c r="L284" s="462"/>
    </row>
    <row r="285" spans="4:12" x14ac:dyDescent="0.2">
      <c r="D285" s="462"/>
      <c r="E285" s="462"/>
      <c r="F285" s="462"/>
      <c r="G285" s="462"/>
      <c r="H285" s="462"/>
      <c r="I285" s="462"/>
      <c r="J285" s="462"/>
      <c r="K285" s="462"/>
      <c r="L285" s="462"/>
    </row>
    <row r="286" spans="4:12" x14ac:dyDescent="0.2">
      <c r="D286" s="462"/>
      <c r="E286" s="462"/>
      <c r="F286" s="462"/>
      <c r="G286" s="462"/>
      <c r="H286" s="462"/>
      <c r="I286" s="462"/>
      <c r="J286" s="462"/>
      <c r="K286" s="462"/>
      <c r="L286" s="462"/>
    </row>
    <row r="287" spans="4:12" x14ac:dyDescent="0.2">
      <c r="D287" s="462"/>
      <c r="E287" s="462"/>
      <c r="F287" s="462"/>
      <c r="G287" s="462"/>
      <c r="H287" s="462"/>
      <c r="I287" s="462"/>
      <c r="J287" s="462"/>
      <c r="K287" s="462"/>
      <c r="L287" s="462"/>
    </row>
    <row r="288" spans="4:12" x14ac:dyDescent="0.2">
      <c r="D288" s="462"/>
      <c r="E288" s="462"/>
      <c r="F288" s="462"/>
      <c r="G288" s="462"/>
      <c r="H288" s="462"/>
      <c r="I288" s="462"/>
      <c r="J288" s="462"/>
      <c r="K288" s="462"/>
      <c r="L288" s="462"/>
    </row>
    <row r="289" spans="4:12" x14ac:dyDescent="0.2">
      <c r="D289" s="462"/>
      <c r="E289" s="462"/>
      <c r="F289" s="462"/>
      <c r="G289" s="462"/>
      <c r="H289" s="462"/>
      <c r="I289" s="462"/>
      <c r="J289" s="462"/>
      <c r="K289" s="462"/>
      <c r="L289" s="462"/>
    </row>
    <row r="290" spans="4:12" x14ac:dyDescent="0.2">
      <c r="D290" s="462"/>
      <c r="E290" s="462"/>
      <c r="F290" s="462"/>
      <c r="G290" s="462"/>
      <c r="H290" s="462"/>
      <c r="I290" s="462"/>
      <c r="J290" s="462"/>
      <c r="K290" s="462"/>
      <c r="L290" s="462"/>
    </row>
    <row r="291" spans="4:12" x14ac:dyDescent="0.2">
      <c r="D291" s="462"/>
      <c r="E291" s="462"/>
      <c r="F291" s="462"/>
      <c r="G291" s="462"/>
      <c r="H291" s="462"/>
      <c r="I291" s="462"/>
      <c r="J291" s="462"/>
      <c r="K291" s="462"/>
      <c r="L291" s="462"/>
    </row>
    <row r="292" spans="4:12" x14ac:dyDescent="0.2">
      <c r="D292" s="462"/>
      <c r="E292" s="462"/>
      <c r="F292" s="462"/>
      <c r="G292" s="462"/>
      <c r="H292" s="462"/>
      <c r="I292" s="462"/>
      <c r="J292" s="462"/>
      <c r="K292" s="462"/>
      <c r="L292" s="462"/>
    </row>
    <row r="293" spans="4:12" x14ac:dyDescent="0.2">
      <c r="D293" s="462"/>
      <c r="E293" s="462"/>
      <c r="F293" s="462"/>
      <c r="G293" s="462"/>
      <c r="H293" s="462"/>
      <c r="I293" s="462"/>
      <c r="J293" s="462"/>
      <c r="K293" s="462"/>
      <c r="L293" s="462"/>
    </row>
    <row r="294" spans="4:12" x14ac:dyDescent="0.2">
      <c r="D294" s="462"/>
      <c r="E294" s="462"/>
      <c r="F294" s="462"/>
      <c r="G294" s="462"/>
      <c r="H294" s="462"/>
      <c r="I294" s="462"/>
      <c r="J294" s="462"/>
      <c r="K294" s="462"/>
      <c r="L294" s="462"/>
    </row>
    <row r="295" spans="4:12" x14ac:dyDescent="0.2">
      <c r="D295" s="462"/>
      <c r="E295" s="462"/>
      <c r="F295" s="462"/>
      <c r="G295" s="462"/>
      <c r="H295" s="462"/>
      <c r="I295" s="462"/>
      <c r="J295" s="462"/>
      <c r="K295" s="462"/>
      <c r="L295" s="462"/>
    </row>
    <row r="296" spans="4:12" x14ac:dyDescent="0.2">
      <c r="D296" s="462"/>
      <c r="E296" s="462"/>
      <c r="F296" s="462"/>
      <c r="G296" s="462"/>
      <c r="H296" s="462"/>
      <c r="I296" s="462"/>
      <c r="J296" s="462"/>
      <c r="K296" s="462"/>
      <c r="L296" s="462"/>
    </row>
    <row r="297" spans="4:12" x14ac:dyDescent="0.2">
      <c r="D297" s="462"/>
      <c r="E297" s="462"/>
      <c r="F297" s="462"/>
      <c r="G297" s="462"/>
      <c r="H297" s="462"/>
      <c r="I297" s="462"/>
      <c r="J297" s="462"/>
      <c r="K297" s="462"/>
      <c r="L297" s="462"/>
    </row>
    <row r="298" spans="4:12" x14ac:dyDescent="0.2">
      <c r="D298" s="462"/>
      <c r="E298" s="462"/>
      <c r="F298" s="462"/>
      <c r="G298" s="462"/>
      <c r="H298" s="462"/>
      <c r="I298" s="462"/>
      <c r="J298" s="462"/>
      <c r="K298" s="462"/>
      <c r="L298" s="462"/>
    </row>
    <row r="299" spans="4:12" x14ac:dyDescent="0.2">
      <c r="D299" s="462"/>
      <c r="E299" s="462"/>
      <c r="F299" s="462"/>
      <c r="G299" s="462"/>
      <c r="H299" s="462"/>
      <c r="I299" s="462"/>
      <c r="J299" s="462"/>
      <c r="K299" s="462"/>
      <c r="L299" s="462"/>
    </row>
    <row r="300" spans="4:12" x14ac:dyDescent="0.2">
      <c r="D300" s="462"/>
      <c r="E300" s="462"/>
      <c r="F300" s="462"/>
      <c r="G300" s="462"/>
      <c r="H300" s="462"/>
      <c r="I300" s="462"/>
      <c r="J300" s="462"/>
      <c r="K300" s="462"/>
      <c r="L300" s="462"/>
    </row>
    <row r="301" spans="4:12" x14ac:dyDescent="0.2">
      <c r="D301" s="462"/>
      <c r="E301" s="462"/>
      <c r="F301" s="462"/>
      <c r="G301" s="462"/>
      <c r="H301" s="462"/>
      <c r="I301" s="462"/>
      <c r="J301" s="462"/>
      <c r="K301" s="462"/>
      <c r="L301" s="462"/>
    </row>
    <row r="302" spans="4:12" x14ac:dyDescent="0.2">
      <c r="D302" s="462"/>
      <c r="E302" s="462"/>
      <c r="F302" s="462"/>
      <c r="G302" s="462"/>
      <c r="H302" s="462"/>
      <c r="I302" s="462"/>
      <c r="J302" s="462"/>
      <c r="K302" s="462"/>
      <c r="L302" s="462"/>
    </row>
    <row r="303" spans="4:12" x14ac:dyDescent="0.2">
      <c r="D303" s="462"/>
      <c r="E303" s="462"/>
      <c r="F303" s="462"/>
      <c r="G303" s="462"/>
      <c r="H303" s="462"/>
      <c r="I303" s="462"/>
      <c r="J303" s="462"/>
      <c r="K303" s="462"/>
      <c r="L303" s="462"/>
    </row>
    <row r="304" spans="4:12" x14ac:dyDescent="0.2">
      <c r="D304" s="462"/>
      <c r="E304" s="462"/>
      <c r="F304" s="462"/>
      <c r="G304" s="462"/>
      <c r="H304" s="462"/>
      <c r="I304" s="462"/>
      <c r="J304" s="462"/>
      <c r="K304" s="462"/>
      <c r="L304" s="462"/>
    </row>
    <row r="305" spans="4:12" x14ac:dyDescent="0.2">
      <c r="D305" s="462"/>
      <c r="E305" s="462"/>
      <c r="F305" s="462"/>
      <c r="G305" s="462"/>
      <c r="H305" s="462"/>
      <c r="I305" s="462"/>
      <c r="J305" s="462"/>
      <c r="K305" s="462"/>
      <c r="L305" s="462"/>
    </row>
    <row r="306" spans="4:12" x14ac:dyDescent="0.2">
      <c r="D306" s="462"/>
      <c r="E306" s="462"/>
      <c r="F306" s="462"/>
      <c r="G306" s="462"/>
      <c r="H306" s="462"/>
      <c r="I306" s="462"/>
      <c r="J306" s="462"/>
      <c r="K306" s="462"/>
      <c r="L306" s="462"/>
    </row>
    <row r="307" spans="4:12" x14ac:dyDescent="0.2">
      <c r="D307" s="462"/>
      <c r="E307" s="462"/>
      <c r="F307" s="462"/>
      <c r="G307" s="462"/>
      <c r="H307" s="462"/>
      <c r="I307" s="462"/>
      <c r="J307" s="462"/>
      <c r="K307" s="462"/>
      <c r="L307" s="462"/>
    </row>
    <row r="308" spans="4:12" x14ac:dyDescent="0.2">
      <c r="D308" s="462"/>
      <c r="E308" s="462"/>
      <c r="F308" s="462"/>
      <c r="G308" s="462"/>
      <c r="H308" s="462"/>
      <c r="I308" s="462"/>
      <c r="J308" s="462"/>
      <c r="K308" s="462"/>
      <c r="L308" s="462"/>
    </row>
    <row r="309" spans="4:12" x14ac:dyDescent="0.2">
      <c r="D309" s="462"/>
      <c r="E309" s="462"/>
      <c r="F309" s="462"/>
      <c r="G309" s="462"/>
      <c r="H309" s="462"/>
      <c r="I309" s="462"/>
      <c r="J309" s="462"/>
      <c r="K309" s="462"/>
      <c r="L309" s="462"/>
    </row>
    <row r="310" spans="4:12" x14ac:dyDescent="0.2">
      <c r="D310" s="462"/>
      <c r="E310" s="462"/>
      <c r="F310" s="462"/>
      <c r="G310" s="462"/>
      <c r="H310" s="462"/>
      <c r="I310" s="462"/>
      <c r="J310" s="462"/>
      <c r="K310" s="462"/>
      <c r="L310" s="462"/>
    </row>
    <row r="311" spans="4:12" x14ac:dyDescent="0.2">
      <c r="D311" s="462"/>
      <c r="E311" s="462"/>
      <c r="F311" s="462"/>
      <c r="G311" s="462"/>
      <c r="H311" s="462"/>
      <c r="I311" s="462"/>
      <c r="J311" s="462"/>
      <c r="K311" s="462"/>
      <c r="L311" s="462"/>
    </row>
    <row r="312" spans="4:12" x14ac:dyDescent="0.2">
      <c r="D312" s="462"/>
      <c r="E312" s="462"/>
      <c r="F312" s="462"/>
      <c r="G312" s="462"/>
      <c r="H312" s="462"/>
      <c r="I312" s="462"/>
      <c r="J312" s="462"/>
      <c r="K312" s="462"/>
      <c r="L312" s="462"/>
    </row>
    <row r="313" spans="4:12" x14ac:dyDescent="0.2">
      <c r="D313" s="462"/>
      <c r="E313" s="462"/>
      <c r="F313" s="462"/>
      <c r="G313" s="462"/>
      <c r="H313" s="462"/>
      <c r="I313" s="462"/>
      <c r="J313" s="462"/>
      <c r="K313" s="462"/>
      <c r="L313" s="462"/>
    </row>
    <row r="314" spans="4:12" x14ac:dyDescent="0.2">
      <c r="D314" s="462"/>
      <c r="E314" s="462"/>
      <c r="F314" s="462"/>
      <c r="G314" s="462"/>
      <c r="H314" s="462"/>
      <c r="I314" s="462"/>
      <c r="J314" s="462"/>
      <c r="K314" s="462"/>
      <c r="L314" s="462"/>
    </row>
    <row r="315" spans="4:12" x14ac:dyDescent="0.2">
      <c r="D315" s="462"/>
      <c r="E315" s="462"/>
      <c r="F315" s="462"/>
      <c r="G315" s="462"/>
      <c r="H315" s="462"/>
      <c r="I315" s="462"/>
      <c r="J315" s="462"/>
      <c r="K315" s="462"/>
      <c r="L315" s="462"/>
    </row>
    <row r="316" spans="4:12" x14ac:dyDescent="0.2">
      <c r="D316" s="462"/>
      <c r="E316" s="462"/>
      <c r="F316" s="462"/>
      <c r="G316" s="462"/>
      <c r="H316" s="462"/>
      <c r="I316" s="462"/>
      <c r="J316" s="462"/>
      <c r="K316" s="462"/>
      <c r="L316" s="462"/>
    </row>
    <row r="317" spans="4:12" x14ac:dyDescent="0.2">
      <c r="D317" s="462"/>
      <c r="E317" s="462"/>
      <c r="F317" s="462"/>
      <c r="G317" s="462"/>
      <c r="H317" s="462"/>
      <c r="I317" s="462"/>
      <c r="J317" s="462"/>
      <c r="K317" s="462"/>
      <c r="L317" s="462"/>
    </row>
    <row r="318" spans="4:12" x14ac:dyDescent="0.2">
      <c r="D318" s="462"/>
      <c r="E318" s="462"/>
      <c r="F318" s="462"/>
      <c r="G318" s="462"/>
      <c r="H318" s="462"/>
      <c r="I318" s="462"/>
      <c r="J318" s="462"/>
      <c r="K318" s="462"/>
      <c r="L318" s="462"/>
    </row>
    <row r="319" spans="4:12" x14ac:dyDescent="0.2">
      <c r="D319" s="462"/>
      <c r="E319" s="462"/>
      <c r="F319" s="462"/>
      <c r="G319" s="462"/>
      <c r="H319" s="462"/>
      <c r="I319" s="462"/>
      <c r="J319" s="462"/>
      <c r="K319" s="462"/>
      <c r="L319" s="462"/>
    </row>
    <row r="320" spans="4:12" x14ac:dyDescent="0.2">
      <c r="D320" s="462"/>
      <c r="E320" s="462"/>
      <c r="F320" s="462"/>
      <c r="G320" s="462"/>
      <c r="H320" s="462"/>
      <c r="I320" s="462"/>
      <c r="J320" s="462"/>
      <c r="K320" s="462"/>
      <c r="L320" s="462"/>
    </row>
    <row r="321" spans="4:12" x14ac:dyDescent="0.2">
      <c r="D321" s="462"/>
      <c r="E321" s="462"/>
      <c r="F321" s="462"/>
      <c r="G321" s="462"/>
      <c r="H321" s="462"/>
      <c r="I321" s="462"/>
      <c r="J321" s="462"/>
      <c r="K321" s="462"/>
      <c r="L321" s="462"/>
    </row>
    <row r="322" spans="4:12" x14ac:dyDescent="0.2">
      <c r="D322" s="462"/>
      <c r="E322" s="462"/>
      <c r="F322" s="462"/>
      <c r="G322" s="462"/>
      <c r="H322" s="462"/>
      <c r="I322" s="462"/>
      <c r="J322" s="462"/>
      <c r="K322" s="462"/>
      <c r="L322" s="462"/>
    </row>
    <row r="323" spans="4:12" x14ac:dyDescent="0.2">
      <c r="D323" s="462"/>
      <c r="E323" s="462"/>
      <c r="F323" s="462"/>
      <c r="G323" s="462"/>
      <c r="H323" s="462"/>
      <c r="I323" s="462"/>
      <c r="J323" s="462"/>
      <c r="K323" s="462"/>
      <c r="L323" s="462"/>
    </row>
    <row r="324" spans="4:12" x14ac:dyDescent="0.2">
      <c r="D324" s="462"/>
      <c r="E324" s="462"/>
      <c r="F324" s="462"/>
      <c r="G324" s="462"/>
      <c r="H324" s="462"/>
      <c r="I324" s="462"/>
      <c r="J324" s="462"/>
      <c r="K324" s="462"/>
      <c r="L324" s="462"/>
    </row>
    <row r="325" spans="4:12" x14ac:dyDescent="0.2">
      <c r="D325" s="462"/>
      <c r="E325" s="462"/>
      <c r="F325" s="462"/>
      <c r="G325" s="462"/>
      <c r="H325" s="462"/>
      <c r="I325" s="462"/>
      <c r="J325" s="462"/>
      <c r="K325" s="462"/>
      <c r="L325" s="462"/>
    </row>
    <row r="326" spans="4:12" x14ac:dyDescent="0.2">
      <c r="D326" s="462"/>
      <c r="E326" s="462"/>
      <c r="F326" s="462"/>
      <c r="G326" s="462"/>
      <c r="H326" s="462"/>
      <c r="I326" s="462"/>
      <c r="J326" s="462"/>
      <c r="K326" s="462"/>
      <c r="L326" s="462"/>
    </row>
    <row r="327" spans="4:12" x14ac:dyDescent="0.2">
      <c r="D327" s="462"/>
      <c r="E327" s="462"/>
      <c r="F327" s="462"/>
      <c r="G327" s="462"/>
      <c r="H327" s="462"/>
      <c r="I327" s="462"/>
      <c r="J327" s="462"/>
      <c r="K327" s="462"/>
      <c r="L327" s="462"/>
    </row>
    <row r="328" spans="4:12" x14ac:dyDescent="0.2">
      <c r="D328" s="462"/>
      <c r="E328" s="462"/>
      <c r="F328" s="462"/>
      <c r="G328" s="462"/>
      <c r="H328" s="462"/>
      <c r="I328" s="462"/>
      <c r="J328" s="462"/>
      <c r="K328" s="462"/>
      <c r="L328" s="462"/>
    </row>
    <row r="329" spans="4:12" x14ac:dyDescent="0.2">
      <c r="D329" s="462"/>
      <c r="E329" s="462"/>
      <c r="F329" s="462"/>
      <c r="G329" s="462"/>
      <c r="H329" s="462"/>
      <c r="I329" s="462"/>
      <c r="J329" s="462"/>
      <c r="K329" s="462"/>
      <c r="L329" s="462"/>
    </row>
    <row r="330" spans="4:12" x14ac:dyDescent="0.2">
      <c r="D330" s="462"/>
      <c r="E330" s="462"/>
      <c r="F330" s="462"/>
      <c r="G330" s="462"/>
      <c r="H330" s="462"/>
      <c r="I330" s="462"/>
      <c r="J330" s="462"/>
      <c r="K330" s="462"/>
      <c r="L330" s="462"/>
    </row>
    <row r="331" spans="4:12" x14ac:dyDescent="0.2">
      <c r="D331" s="462"/>
      <c r="E331" s="462"/>
      <c r="F331" s="462"/>
      <c r="G331" s="462"/>
      <c r="H331" s="462"/>
      <c r="I331" s="462"/>
      <c r="J331" s="462"/>
      <c r="K331" s="462"/>
      <c r="L331" s="462"/>
    </row>
    <row r="332" spans="4:12" x14ac:dyDescent="0.2">
      <c r="D332" s="462"/>
      <c r="E332" s="462"/>
      <c r="F332" s="462"/>
      <c r="G332" s="462"/>
      <c r="H332" s="462"/>
      <c r="I332" s="462"/>
      <c r="J332" s="462"/>
      <c r="K332" s="462"/>
      <c r="L332" s="462"/>
    </row>
    <row r="333" spans="4:12" x14ac:dyDescent="0.2">
      <c r="D333" s="462"/>
      <c r="E333" s="462"/>
      <c r="F333" s="462"/>
      <c r="G333" s="462"/>
      <c r="H333" s="462"/>
      <c r="I333" s="462"/>
      <c r="J333" s="462"/>
      <c r="K333" s="462"/>
      <c r="L333" s="462"/>
    </row>
    <row r="334" spans="4:12" x14ac:dyDescent="0.2">
      <c r="D334" s="462"/>
      <c r="E334" s="462"/>
      <c r="F334" s="462"/>
      <c r="G334" s="462"/>
      <c r="H334" s="462"/>
      <c r="I334" s="462"/>
      <c r="J334" s="462"/>
      <c r="K334" s="462"/>
      <c r="L334" s="462"/>
    </row>
    <row r="335" spans="4:12" x14ac:dyDescent="0.2">
      <c r="D335" s="462"/>
      <c r="E335" s="462"/>
      <c r="F335" s="462"/>
      <c r="G335" s="462"/>
      <c r="H335" s="462"/>
      <c r="I335" s="462"/>
      <c r="J335" s="462"/>
      <c r="K335" s="462"/>
      <c r="L335" s="462"/>
    </row>
    <row r="336" spans="4:12" x14ac:dyDescent="0.2">
      <c r="D336" s="462"/>
      <c r="E336" s="462"/>
      <c r="F336" s="462"/>
      <c r="G336" s="462"/>
      <c r="H336" s="462"/>
      <c r="I336" s="462"/>
      <c r="J336" s="462"/>
      <c r="K336" s="462"/>
      <c r="L336" s="462"/>
    </row>
    <row r="337" spans="4:12" x14ac:dyDescent="0.2">
      <c r="D337" s="462"/>
      <c r="E337" s="462"/>
      <c r="F337" s="462"/>
      <c r="G337" s="462"/>
      <c r="H337" s="462"/>
      <c r="I337" s="462"/>
      <c r="J337" s="462"/>
      <c r="K337" s="462"/>
      <c r="L337" s="462"/>
    </row>
    <row r="338" spans="4:12" x14ac:dyDescent="0.2">
      <c r="D338" s="462"/>
      <c r="E338" s="462"/>
      <c r="F338" s="462"/>
      <c r="G338" s="462"/>
      <c r="H338" s="462"/>
      <c r="I338" s="462"/>
      <c r="J338" s="462"/>
      <c r="K338" s="462"/>
      <c r="L338" s="462"/>
    </row>
    <row r="339" spans="4:12" x14ac:dyDescent="0.2">
      <c r="D339" s="462"/>
      <c r="E339" s="462"/>
      <c r="F339" s="462"/>
      <c r="G339" s="462"/>
      <c r="H339" s="462"/>
      <c r="I339" s="462"/>
      <c r="J339" s="462"/>
      <c r="K339" s="462"/>
      <c r="L339" s="462"/>
    </row>
    <row r="340" spans="4:12" x14ac:dyDescent="0.2">
      <c r="D340" s="462"/>
      <c r="E340" s="462"/>
      <c r="F340" s="462"/>
      <c r="G340" s="462"/>
      <c r="H340" s="462"/>
      <c r="I340" s="462"/>
      <c r="J340" s="462"/>
      <c r="K340" s="462"/>
      <c r="L340" s="462"/>
    </row>
    <row r="341" spans="4:12" x14ac:dyDescent="0.2">
      <c r="D341" s="462"/>
      <c r="E341" s="462"/>
      <c r="F341" s="462"/>
      <c r="G341" s="462"/>
      <c r="H341" s="462"/>
      <c r="I341" s="462"/>
      <c r="J341" s="462"/>
      <c r="K341" s="462"/>
      <c r="L341" s="462"/>
    </row>
    <row r="342" spans="4:12" x14ac:dyDescent="0.2">
      <c r="D342" s="462"/>
      <c r="E342" s="462"/>
      <c r="F342" s="462"/>
      <c r="G342" s="462"/>
      <c r="H342" s="462"/>
      <c r="I342" s="462"/>
      <c r="J342" s="462"/>
      <c r="K342" s="462"/>
      <c r="L342" s="462"/>
    </row>
    <row r="343" spans="4:12" x14ac:dyDescent="0.2">
      <c r="D343" s="462"/>
      <c r="E343" s="462"/>
      <c r="F343" s="462"/>
      <c r="G343" s="462"/>
      <c r="H343" s="462"/>
      <c r="I343" s="462"/>
      <c r="J343" s="462"/>
      <c r="K343" s="462"/>
      <c r="L343" s="462"/>
    </row>
    <row r="344" spans="4:12" x14ac:dyDescent="0.2">
      <c r="D344" s="462"/>
      <c r="E344" s="462"/>
      <c r="F344" s="462"/>
      <c r="G344" s="462"/>
      <c r="H344" s="462"/>
      <c r="I344" s="462"/>
      <c r="J344" s="462"/>
      <c r="K344" s="462"/>
      <c r="L344" s="462"/>
    </row>
    <row r="345" spans="4:12" x14ac:dyDescent="0.2">
      <c r="D345" s="462"/>
      <c r="E345" s="462"/>
      <c r="F345" s="462"/>
      <c r="G345" s="462"/>
      <c r="H345" s="462"/>
      <c r="I345" s="462"/>
      <c r="J345" s="462"/>
      <c r="K345" s="462"/>
      <c r="L345" s="462"/>
    </row>
    <row r="346" spans="4:12" x14ac:dyDescent="0.2">
      <c r="D346" s="462"/>
      <c r="E346" s="462"/>
      <c r="F346" s="462"/>
      <c r="G346" s="462"/>
      <c r="H346" s="462"/>
      <c r="I346" s="462"/>
      <c r="J346" s="462"/>
      <c r="K346" s="462"/>
      <c r="L346" s="462"/>
    </row>
    <row r="347" spans="4:12" x14ac:dyDescent="0.2">
      <c r="D347" s="462"/>
      <c r="E347" s="462"/>
      <c r="F347" s="462"/>
      <c r="G347" s="462"/>
      <c r="H347" s="462"/>
      <c r="I347" s="462"/>
      <c r="J347" s="462"/>
      <c r="K347" s="462"/>
      <c r="L347" s="462"/>
    </row>
    <row r="348" spans="4:12" x14ac:dyDescent="0.2">
      <c r="D348" s="462"/>
      <c r="E348" s="462"/>
      <c r="F348" s="462"/>
      <c r="G348" s="462"/>
      <c r="H348" s="462"/>
      <c r="I348" s="462"/>
      <c r="J348" s="462"/>
      <c r="K348" s="462"/>
      <c r="L348" s="462"/>
    </row>
    <row r="349" spans="4:12" x14ac:dyDescent="0.2">
      <c r="D349" s="462"/>
      <c r="E349" s="462"/>
      <c r="F349" s="462"/>
      <c r="G349" s="462"/>
      <c r="H349" s="462"/>
      <c r="I349" s="462"/>
      <c r="J349" s="462"/>
      <c r="K349" s="462"/>
      <c r="L349" s="462"/>
    </row>
    <row r="350" spans="4:12" x14ac:dyDescent="0.2">
      <c r="D350" s="462"/>
      <c r="E350" s="462"/>
      <c r="F350" s="462"/>
      <c r="G350" s="462"/>
      <c r="H350" s="462"/>
      <c r="I350" s="462"/>
      <c r="J350" s="462"/>
      <c r="K350" s="462"/>
      <c r="L350" s="462"/>
    </row>
    <row r="351" spans="4:12" x14ac:dyDescent="0.2">
      <c r="D351" s="462"/>
      <c r="E351" s="462"/>
      <c r="F351" s="462"/>
      <c r="G351" s="462"/>
      <c r="H351" s="462"/>
      <c r="I351" s="462"/>
      <c r="J351" s="462"/>
      <c r="K351" s="462"/>
      <c r="L351" s="462"/>
    </row>
    <row r="352" spans="4:12" x14ac:dyDescent="0.2">
      <c r="D352" s="462"/>
      <c r="E352" s="462"/>
      <c r="F352" s="462"/>
      <c r="G352" s="462"/>
      <c r="H352" s="462"/>
      <c r="I352" s="462"/>
      <c r="J352" s="462"/>
      <c r="K352" s="462"/>
      <c r="L352" s="462"/>
    </row>
    <row r="353" spans="4:12" x14ac:dyDescent="0.2">
      <c r="D353" s="462"/>
      <c r="E353" s="462"/>
      <c r="F353" s="462"/>
      <c r="G353" s="462"/>
      <c r="H353" s="462"/>
      <c r="I353" s="462"/>
      <c r="J353" s="462"/>
      <c r="K353" s="462"/>
      <c r="L353" s="462"/>
    </row>
    <row r="354" spans="4:12" x14ac:dyDescent="0.2">
      <c r="D354" s="462"/>
      <c r="E354" s="462"/>
      <c r="F354" s="462"/>
      <c r="G354" s="462"/>
      <c r="H354" s="462"/>
      <c r="I354" s="462"/>
      <c r="J354" s="462"/>
      <c r="K354" s="462"/>
      <c r="L354" s="462"/>
    </row>
    <row r="355" spans="4:12" x14ac:dyDescent="0.2">
      <c r="D355" s="462"/>
      <c r="E355" s="462"/>
      <c r="F355" s="462"/>
      <c r="G355" s="462"/>
      <c r="H355" s="462"/>
      <c r="I355" s="462"/>
      <c r="J355" s="462"/>
      <c r="K355" s="462"/>
      <c r="L355" s="462"/>
    </row>
    <row r="356" spans="4:12" x14ac:dyDescent="0.2">
      <c r="D356" s="462"/>
      <c r="E356" s="462"/>
      <c r="F356" s="462"/>
      <c r="G356" s="462"/>
      <c r="H356" s="462"/>
      <c r="I356" s="462"/>
      <c r="J356" s="462"/>
      <c r="K356" s="462"/>
      <c r="L356" s="462"/>
    </row>
    <row r="357" spans="4:12" x14ac:dyDescent="0.2">
      <c r="D357" s="462"/>
      <c r="E357" s="462"/>
      <c r="F357" s="462"/>
      <c r="G357" s="462"/>
      <c r="H357" s="462"/>
      <c r="I357" s="462"/>
      <c r="J357" s="462"/>
      <c r="K357" s="462"/>
      <c r="L357" s="462"/>
    </row>
    <row r="358" spans="4:12" x14ac:dyDescent="0.2">
      <c r="D358" s="462"/>
      <c r="E358" s="462"/>
      <c r="F358" s="462"/>
      <c r="G358" s="462"/>
      <c r="H358" s="462"/>
      <c r="I358" s="462"/>
      <c r="J358" s="462"/>
      <c r="K358" s="462"/>
      <c r="L358" s="462"/>
    </row>
    <row r="359" spans="4:12" x14ac:dyDescent="0.2">
      <c r="D359" s="462"/>
      <c r="E359" s="462"/>
      <c r="F359" s="462"/>
      <c r="G359" s="462"/>
      <c r="H359" s="462"/>
      <c r="I359" s="462"/>
      <c r="J359" s="462"/>
      <c r="K359" s="462"/>
      <c r="L359" s="462"/>
    </row>
    <row r="360" spans="4:12" x14ac:dyDescent="0.2">
      <c r="D360" s="462"/>
      <c r="E360" s="462"/>
      <c r="F360" s="462"/>
      <c r="G360" s="462"/>
      <c r="H360" s="462"/>
      <c r="I360" s="462"/>
      <c r="J360" s="462"/>
      <c r="K360" s="462"/>
      <c r="L360" s="462"/>
    </row>
    <row r="361" spans="4:12" x14ac:dyDescent="0.2">
      <c r="D361" s="462"/>
      <c r="E361" s="462"/>
      <c r="F361" s="462"/>
      <c r="G361" s="462"/>
      <c r="H361" s="462"/>
      <c r="I361" s="462"/>
      <c r="J361" s="462"/>
      <c r="K361" s="462"/>
      <c r="L361" s="462"/>
    </row>
    <row r="362" spans="4:12" x14ac:dyDescent="0.2">
      <c r="D362" s="462"/>
      <c r="E362" s="462"/>
      <c r="F362" s="462"/>
      <c r="G362" s="462"/>
      <c r="H362" s="462"/>
      <c r="I362" s="462"/>
      <c r="J362" s="462"/>
      <c r="K362" s="462"/>
      <c r="L362" s="462"/>
    </row>
    <row r="363" spans="4:12" x14ac:dyDescent="0.2">
      <c r="D363" s="462"/>
      <c r="E363" s="462"/>
      <c r="F363" s="462"/>
      <c r="G363" s="462"/>
      <c r="H363" s="462"/>
      <c r="I363" s="462"/>
      <c r="J363" s="462"/>
      <c r="K363" s="462"/>
      <c r="L363" s="462"/>
    </row>
    <row r="364" spans="4:12" x14ac:dyDescent="0.2">
      <c r="D364" s="462"/>
      <c r="E364" s="462"/>
      <c r="F364" s="462"/>
      <c r="G364" s="462"/>
      <c r="H364" s="462"/>
      <c r="I364" s="462"/>
      <c r="J364" s="462"/>
      <c r="K364" s="462"/>
      <c r="L364" s="462"/>
    </row>
    <row r="365" spans="4:12" x14ac:dyDescent="0.2">
      <c r="D365" s="462"/>
      <c r="E365" s="462"/>
      <c r="F365" s="462"/>
      <c r="G365" s="462"/>
      <c r="H365" s="462"/>
      <c r="I365" s="462"/>
      <c r="J365" s="462"/>
      <c r="K365" s="462"/>
      <c r="L365" s="462"/>
    </row>
    <row r="366" spans="4:12" x14ac:dyDescent="0.2">
      <c r="D366" s="462"/>
      <c r="E366" s="462"/>
      <c r="F366" s="462"/>
      <c r="G366" s="462"/>
      <c r="H366" s="462"/>
      <c r="I366" s="462"/>
      <c r="J366" s="462"/>
      <c r="K366" s="462"/>
      <c r="L366" s="462"/>
    </row>
    <row r="367" spans="4:12" x14ac:dyDescent="0.2">
      <c r="D367" s="462"/>
      <c r="E367" s="462"/>
      <c r="F367" s="462"/>
      <c r="G367" s="462"/>
      <c r="H367" s="462"/>
      <c r="I367" s="462"/>
      <c r="J367" s="462"/>
      <c r="K367" s="462"/>
      <c r="L367" s="462"/>
    </row>
    <row r="368" spans="4:12" x14ac:dyDescent="0.2">
      <c r="D368" s="462"/>
      <c r="E368" s="462"/>
      <c r="F368" s="462"/>
      <c r="G368" s="462"/>
      <c r="H368" s="462"/>
      <c r="I368" s="462"/>
      <c r="J368" s="462"/>
      <c r="K368" s="462"/>
      <c r="L368" s="462"/>
    </row>
    <row r="369" spans="4:12" x14ac:dyDescent="0.2">
      <c r="D369" s="462"/>
      <c r="E369" s="462"/>
      <c r="F369" s="462"/>
      <c r="G369" s="462"/>
      <c r="H369" s="462"/>
      <c r="I369" s="462"/>
      <c r="J369" s="462"/>
      <c r="K369" s="462"/>
      <c r="L369" s="462"/>
    </row>
    <row r="370" spans="4:12" x14ac:dyDescent="0.2">
      <c r="D370" s="462"/>
      <c r="E370" s="462"/>
      <c r="F370" s="462"/>
      <c r="G370" s="462"/>
      <c r="H370" s="462"/>
      <c r="I370" s="462"/>
      <c r="J370" s="462"/>
      <c r="K370" s="462"/>
      <c r="L370" s="462"/>
    </row>
    <row r="371" spans="4:12" x14ac:dyDescent="0.2">
      <c r="D371" s="462"/>
      <c r="E371" s="462"/>
      <c r="F371" s="462"/>
      <c r="G371" s="462"/>
      <c r="H371" s="462"/>
      <c r="I371" s="462"/>
      <c r="J371" s="462"/>
      <c r="K371" s="462"/>
      <c r="L371" s="462"/>
    </row>
    <row r="372" spans="4:12" x14ac:dyDescent="0.2">
      <c r="D372" s="462"/>
      <c r="E372" s="462"/>
      <c r="F372" s="462"/>
      <c r="G372" s="462"/>
      <c r="H372" s="462"/>
      <c r="I372" s="462"/>
      <c r="J372" s="462"/>
      <c r="K372" s="462"/>
      <c r="L372" s="462"/>
    </row>
    <row r="373" spans="4:12" x14ac:dyDescent="0.2">
      <c r="D373" s="462"/>
      <c r="E373" s="462"/>
      <c r="F373" s="462"/>
      <c r="G373" s="462"/>
      <c r="H373" s="462"/>
      <c r="I373" s="462"/>
      <c r="J373" s="462"/>
      <c r="K373" s="462"/>
      <c r="L373" s="462"/>
    </row>
    <row r="374" spans="4:12" x14ac:dyDescent="0.2">
      <c r="D374" s="462"/>
      <c r="E374" s="462"/>
      <c r="F374" s="462"/>
      <c r="G374" s="462"/>
      <c r="H374" s="462"/>
      <c r="I374" s="462"/>
      <c r="J374" s="462"/>
      <c r="K374" s="462"/>
      <c r="L374" s="462"/>
    </row>
    <row r="375" spans="4:12" x14ac:dyDescent="0.2">
      <c r="D375" s="462"/>
      <c r="E375" s="462"/>
      <c r="F375" s="462"/>
      <c r="G375" s="462"/>
      <c r="H375" s="462"/>
      <c r="I375" s="462"/>
      <c r="J375" s="462"/>
      <c r="K375" s="462"/>
      <c r="L375" s="462"/>
    </row>
    <row r="376" spans="4:12" x14ac:dyDescent="0.2">
      <c r="D376" s="462"/>
      <c r="E376" s="462"/>
      <c r="F376" s="462"/>
      <c r="G376" s="462"/>
      <c r="H376" s="462"/>
      <c r="I376" s="462"/>
      <c r="J376" s="462"/>
      <c r="K376" s="462"/>
      <c r="L376" s="462"/>
    </row>
    <row r="377" spans="4:12" x14ac:dyDescent="0.2">
      <c r="D377" s="462"/>
      <c r="E377" s="462"/>
      <c r="F377" s="462"/>
      <c r="G377" s="462"/>
      <c r="H377" s="462"/>
      <c r="I377" s="462"/>
      <c r="J377" s="462"/>
      <c r="K377" s="462"/>
      <c r="L377" s="462"/>
    </row>
    <row r="378" spans="4:12" x14ac:dyDescent="0.2">
      <c r="D378" s="462"/>
      <c r="E378" s="462"/>
      <c r="F378" s="462"/>
      <c r="G378" s="462"/>
      <c r="H378" s="462"/>
      <c r="I378" s="462"/>
      <c r="J378" s="462"/>
      <c r="K378" s="462"/>
      <c r="L378" s="462"/>
    </row>
    <row r="379" spans="4:12" x14ac:dyDescent="0.2">
      <c r="D379" s="462"/>
      <c r="E379" s="462"/>
      <c r="F379" s="462"/>
      <c r="G379" s="462"/>
      <c r="H379" s="462"/>
      <c r="I379" s="462"/>
      <c r="J379" s="462"/>
      <c r="K379" s="462"/>
      <c r="L379" s="462"/>
    </row>
    <row r="380" spans="4:12" x14ac:dyDescent="0.2">
      <c r="D380" s="462"/>
      <c r="E380" s="462"/>
      <c r="F380" s="462"/>
      <c r="G380" s="462"/>
      <c r="H380" s="462"/>
      <c r="I380" s="462"/>
      <c r="J380" s="462"/>
      <c r="K380" s="462"/>
      <c r="L380" s="462"/>
    </row>
    <row r="381" spans="4:12" x14ac:dyDescent="0.2">
      <c r="D381" s="462"/>
      <c r="E381" s="462"/>
      <c r="F381" s="462"/>
      <c r="G381" s="462"/>
      <c r="H381" s="462"/>
      <c r="I381" s="462"/>
      <c r="J381" s="462"/>
      <c r="K381" s="462"/>
      <c r="L381" s="462"/>
    </row>
    <row r="382" spans="4:12" x14ac:dyDescent="0.2">
      <c r="D382" s="462"/>
      <c r="E382" s="462"/>
      <c r="F382" s="462"/>
      <c r="G382" s="462"/>
      <c r="H382" s="462"/>
      <c r="I382" s="462"/>
      <c r="J382" s="462"/>
      <c r="K382" s="462"/>
      <c r="L382" s="462"/>
    </row>
    <row r="383" spans="4:12" x14ac:dyDescent="0.2">
      <c r="D383" s="462"/>
      <c r="E383" s="462"/>
      <c r="F383" s="462"/>
      <c r="G383" s="462"/>
      <c r="H383" s="462"/>
      <c r="I383" s="462"/>
      <c r="J383" s="462"/>
      <c r="K383" s="462"/>
      <c r="L383" s="462"/>
    </row>
    <row r="384" spans="4:12" x14ac:dyDescent="0.2">
      <c r="D384" s="462"/>
      <c r="E384" s="462"/>
      <c r="F384" s="462"/>
      <c r="G384" s="462"/>
      <c r="H384" s="462"/>
      <c r="I384" s="462"/>
      <c r="J384" s="462"/>
      <c r="K384" s="462"/>
      <c r="L384" s="462"/>
    </row>
    <row r="385" spans="4:12" x14ac:dyDescent="0.2">
      <c r="D385" s="462"/>
      <c r="E385" s="462"/>
      <c r="F385" s="462"/>
      <c r="G385" s="462"/>
      <c r="H385" s="462"/>
      <c r="I385" s="462"/>
      <c r="J385" s="462"/>
      <c r="K385" s="462"/>
      <c r="L385" s="462"/>
    </row>
    <row r="386" spans="4:12" x14ac:dyDescent="0.2">
      <c r="D386" s="462"/>
      <c r="E386" s="462"/>
      <c r="F386" s="462"/>
      <c r="G386" s="462"/>
      <c r="H386" s="462"/>
      <c r="I386" s="462"/>
      <c r="J386" s="462"/>
      <c r="K386" s="462"/>
      <c r="L386" s="462"/>
    </row>
    <row r="387" spans="4:12" x14ac:dyDescent="0.2">
      <c r="D387" s="462"/>
      <c r="E387" s="462"/>
      <c r="F387" s="462"/>
      <c r="G387" s="462"/>
      <c r="H387" s="462"/>
      <c r="I387" s="462"/>
      <c r="J387" s="462"/>
      <c r="K387" s="462"/>
      <c r="L387" s="462"/>
    </row>
    <row r="388" spans="4:12" x14ac:dyDescent="0.2">
      <c r="D388" s="462"/>
      <c r="E388" s="462"/>
      <c r="F388" s="462"/>
      <c r="G388" s="462"/>
      <c r="H388" s="462"/>
      <c r="I388" s="462"/>
      <c r="J388" s="462"/>
      <c r="K388" s="462"/>
      <c r="L388" s="462"/>
    </row>
    <row r="389" spans="4:12" x14ac:dyDescent="0.2">
      <c r="D389" s="462"/>
      <c r="E389" s="462"/>
      <c r="F389" s="462"/>
      <c r="G389" s="462"/>
      <c r="H389" s="462"/>
      <c r="I389" s="462"/>
      <c r="J389" s="462"/>
      <c r="K389" s="462"/>
      <c r="L389" s="462"/>
    </row>
    <row r="390" spans="4:12" x14ac:dyDescent="0.2">
      <c r="D390" s="462"/>
      <c r="E390" s="462"/>
      <c r="F390" s="462"/>
      <c r="G390" s="462"/>
      <c r="H390" s="462"/>
      <c r="I390" s="462"/>
      <c r="J390" s="462"/>
      <c r="K390" s="462"/>
      <c r="L390" s="462"/>
    </row>
    <row r="391" spans="4:12" x14ac:dyDescent="0.2">
      <c r="D391" s="462"/>
      <c r="E391" s="462"/>
      <c r="F391" s="462"/>
      <c r="G391" s="462"/>
      <c r="H391" s="462"/>
      <c r="I391" s="462"/>
      <c r="J391" s="462"/>
      <c r="K391" s="462"/>
      <c r="L391" s="462"/>
    </row>
    <row r="392" spans="4:12" x14ac:dyDescent="0.2">
      <c r="D392" s="462"/>
      <c r="E392" s="462"/>
      <c r="F392" s="462"/>
      <c r="G392" s="462"/>
      <c r="H392" s="462"/>
      <c r="I392" s="462"/>
      <c r="J392" s="462"/>
      <c r="K392" s="462"/>
      <c r="L392" s="462"/>
    </row>
    <row r="393" spans="4:12" x14ac:dyDescent="0.2">
      <c r="D393" s="462"/>
      <c r="E393" s="462"/>
      <c r="F393" s="462"/>
      <c r="G393" s="462"/>
      <c r="H393" s="462"/>
      <c r="I393" s="462"/>
      <c r="J393" s="462"/>
      <c r="K393" s="462"/>
      <c r="L393" s="462"/>
    </row>
    <row r="394" spans="4:12" x14ac:dyDescent="0.2">
      <c r="D394" s="462"/>
      <c r="E394" s="462"/>
      <c r="F394" s="462"/>
      <c r="G394" s="462"/>
      <c r="H394" s="462"/>
      <c r="I394" s="462"/>
      <c r="J394" s="462"/>
      <c r="K394" s="462"/>
      <c r="L394" s="462"/>
    </row>
    <row r="395" spans="4:12" x14ac:dyDescent="0.2">
      <c r="D395" s="462"/>
      <c r="E395" s="462"/>
      <c r="F395" s="462"/>
      <c r="G395" s="462"/>
      <c r="H395" s="462"/>
      <c r="I395" s="462"/>
      <c r="J395" s="462"/>
      <c r="K395" s="462"/>
      <c r="L395" s="462"/>
    </row>
    <row r="396" spans="4:12" x14ac:dyDescent="0.2">
      <c r="D396" s="462"/>
      <c r="E396" s="462"/>
      <c r="F396" s="462"/>
      <c r="G396" s="462"/>
      <c r="H396" s="462"/>
      <c r="I396" s="462"/>
      <c r="J396" s="462"/>
      <c r="K396" s="462"/>
      <c r="L396" s="462"/>
    </row>
    <row r="397" spans="4:12" x14ac:dyDescent="0.2">
      <c r="D397" s="462"/>
      <c r="E397" s="462"/>
      <c r="F397" s="462"/>
      <c r="G397" s="462"/>
      <c r="H397" s="462"/>
      <c r="I397" s="462"/>
      <c r="J397" s="462"/>
      <c r="K397" s="462"/>
      <c r="L397" s="462"/>
    </row>
    <row r="398" spans="4:12" x14ac:dyDescent="0.2">
      <c r="D398" s="462"/>
      <c r="E398" s="462"/>
      <c r="F398" s="462"/>
      <c r="G398" s="462"/>
      <c r="H398" s="462"/>
      <c r="I398" s="462"/>
      <c r="J398" s="462"/>
      <c r="K398" s="462"/>
      <c r="L398" s="462"/>
    </row>
    <row r="399" spans="4:12" x14ac:dyDescent="0.2">
      <c r="D399" s="462"/>
      <c r="E399" s="462"/>
      <c r="F399" s="462"/>
      <c r="G399" s="462"/>
      <c r="H399" s="462"/>
      <c r="I399" s="462"/>
      <c r="J399" s="462"/>
      <c r="K399" s="462"/>
      <c r="L399" s="462"/>
    </row>
    <row r="400" spans="4:12" x14ac:dyDescent="0.2">
      <c r="D400" s="462"/>
      <c r="E400" s="462"/>
      <c r="F400" s="462"/>
      <c r="G400" s="462"/>
      <c r="H400" s="462"/>
      <c r="I400" s="462"/>
      <c r="J400" s="462"/>
      <c r="K400" s="462"/>
      <c r="L400" s="462"/>
    </row>
    <row r="401" spans="4:12" x14ac:dyDescent="0.2">
      <c r="D401" s="462"/>
      <c r="E401" s="462"/>
      <c r="F401" s="462"/>
      <c r="G401" s="462"/>
      <c r="H401" s="462"/>
      <c r="I401" s="462"/>
      <c r="J401" s="462"/>
      <c r="K401" s="462"/>
      <c r="L401" s="462"/>
    </row>
    <row r="402" spans="4:12" x14ac:dyDescent="0.2">
      <c r="D402" s="462"/>
      <c r="E402" s="462"/>
      <c r="F402" s="462"/>
      <c r="G402" s="462"/>
      <c r="H402" s="462"/>
      <c r="I402" s="462"/>
      <c r="J402" s="462"/>
      <c r="K402" s="462"/>
      <c r="L402" s="462"/>
    </row>
    <row r="403" spans="4:12" x14ac:dyDescent="0.2">
      <c r="D403" s="462"/>
      <c r="E403" s="462"/>
      <c r="F403" s="462"/>
      <c r="G403" s="462"/>
      <c r="H403" s="462"/>
      <c r="I403" s="462"/>
      <c r="J403" s="462"/>
      <c r="K403" s="462"/>
      <c r="L403" s="462"/>
    </row>
    <row r="404" spans="4:12" x14ac:dyDescent="0.2">
      <c r="D404" s="462"/>
      <c r="E404" s="462"/>
      <c r="F404" s="462"/>
      <c r="G404" s="462"/>
      <c r="H404" s="462"/>
      <c r="I404" s="462"/>
      <c r="J404" s="462"/>
      <c r="K404" s="462"/>
      <c r="L404" s="462"/>
    </row>
    <row r="405" spans="4:12" x14ac:dyDescent="0.2">
      <c r="D405" s="462"/>
      <c r="E405" s="462"/>
      <c r="F405" s="462"/>
      <c r="G405" s="462"/>
      <c r="H405" s="462"/>
      <c r="I405" s="462"/>
      <c r="J405" s="462"/>
      <c r="K405" s="462"/>
      <c r="L405" s="462"/>
    </row>
    <row r="406" spans="4:12" x14ac:dyDescent="0.2">
      <c r="D406" s="462"/>
      <c r="E406" s="462"/>
      <c r="F406" s="462"/>
      <c r="G406" s="462"/>
      <c r="H406" s="462"/>
      <c r="I406" s="462"/>
      <c r="J406" s="462"/>
      <c r="K406" s="462"/>
      <c r="L406" s="462"/>
    </row>
    <row r="407" spans="4:12" x14ac:dyDescent="0.2">
      <c r="D407" s="462"/>
      <c r="E407" s="462"/>
      <c r="F407" s="462"/>
      <c r="G407" s="462"/>
      <c r="H407" s="462"/>
      <c r="I407" s="462"/>
      <c r="J407" s="462"/>
      <c r="K407" s="462"/>
      <c r="L407" s="462"/>
    </row>
    <row r="408" spans="4:12" x14ac:dyDescent="0.2">
      <c r="D408" s="462"/>
      <c r="E408" s="462"/>
      <c r="F408" s="462"/>
      <c r="G408" s="462"/>
      <c r="H408" s="462"/>
      <c r="I408" s="462"/>
      <c r="J408" s="462"/>
      <c r="K408" s="462"/>
      <c r="L408" s="462"/>
    </row>
    <row r="409" spans="4:12" x14ac:dyDescent="0.2">
      <c r="D409" s="462"/>
      <c r="E409" s="462"/>
      <c r="F409" s="462"/>
      <c r="G409" s="462"/>
      <c r="H409" s="462"/>
      <c r="I409" s="462"/>
      <c r="J409" s="462"/>
      <c r="K409" s="462"/>
      <c r="L409" s="462"/>
    </row>
    <row r="410" spans="4:12" x14ac:dyDescent="0.2">
      <c r="D410" s="462"/>
      <c r="E410" s="462"/>
      <c r="F410" s="462"/>
      <c r="G410" s="462"/>
      <c r="H410" s="462"/>
      <c r="I410" s="462"/>
      <c r="J410" s="462"/>
      <c r="K410" s="462"/>
      <c r="L410" s="462"/>
    </row>
    <row r="411" spans="4:12" x14ac:dyDescent="0.2">
      <c r="D411" s="462"/>
      <c r="E411" s="462"/>
      <c r="F411" s="462"/>
      <c r="G411" s="462"/>
      <c r="H411" s="462"/>
      <c r="I411" s="462"/>
      <c r="J411" s="462"/>
      <c r="K411" s="462"/>
      <c r="L411" s="462"/>
    </row>
    <row r="412" spans="4:12" x14ac:dyDescent="0.2">
      <c r="D412" s="462"/>
      <c r="E412" s="462"/>
      <c r="F412" s="462"/>
      <c r="G412" s="462"/>
      <c r="H412" s="462"/>
      <c r="I412" s="462"/>
      <c r="J412" s="462"/>
      <c r="K412" s="462"/>
      <c r="L412" s="462"/>
    </row>
    <row r="413" spans="4:12" x14ac:dyDescent="0.2">
      <c r="D413" s="462"/>
      <c r="E413" s="462"/>
      <c r="F413" s="462"/>
      <c r="G413" s="462"/>
      <c r="H413" s="462"/>
      <c r="I413" s="462"/>
      <c r="J413" s="462"/>
      <c r="K413" s="462"/>
      <c r="L413" s="462"/>
    </row>
    <row r="414" spans="4:12" x14ac:dyDescent="0.2">
      <c r="D414" s="462"/>
      <c r="E414" s="462"/>
      <c r="F414" s="462"/>
      <c r="G414" s="462"/>
      <c r="H414" s="462"/>
      <c r="I414" s="462"/>
      <c r="J414" s="462"/>
      <c r="K414" s="462"/>
      <c r="L414" s="462"/>
    </row>
    <row r="415" spans="4:12" x14ac:dyDescent="0.2">
      <c r="D415" s="462"/>
      <c r="E415" s="462"/>
      <c r="F415" s="462"/>
      <c r="G415" s="462"/>
      <c r="H415" s="462"/>
      <c r="I415" s="462"/>
      <c r="J415" s="462"/>
      <c r="K415" s="462"/>
      <c r="L415" s="462"/>
    </row>
    <row r="416" spans="4:12" x14ac:dyDescent="0.2">
      <c r="D416" s="462"/>
      <c r="E416" s="462"/>
      <c r="F416" s="462"/>
      <c r="G416" s="462"/>
      <c r="H416" s="462"/>
      <c r="I416" s="462"/>
      <c r="J416" s="462"/>
      <c r="K416" s="462"/>
      <c r="L416" s="462"/>
    </row>
    <row r="417" spans="4:12" x14ac:dyDescent="0.2">
      <c r="D417" s="462"/>
      <c r="E417" s="462"/>
      <c r="F417" s="462"/>
      <c r="G417" s="462"/>
      <c r="H417" s="462"/>
      <c r="I417" s="462"/>
      <c r="J417" s="462"/>
      <c r="K417" s="462"/>
      <c r="L417" s="462"/>
    </row>
    <row r="418" spans="4:12" x14ac:dyDescent="0.2">
      <c r="D418" s="462"/>
      <c r="E418" s="462"/>
      <c r="F418" s="462"/>
      <c r="G418" s="462"/>
      <c r="H418" s="462"/>
      <c r="I418" s="462"/>
      <c r="J418" s="462"/>
      <c r="K418" s="462"/>
      <c r="L418" s="462"/>
    </row>
    <row r="419" spans="4:12" x14ac:dyDescent="0.2">
      <c r="D419" s="462"/>
      <c r="E419" s="462"/>
      <c r="F419" s="462"/>
      <c r="G419" s="462"/>
      <c r="H419" s="462"/>
      <c r="I419" s="462"/>
      <c r="J419" s="462"/>
      <c r="K419" s="462"/>
      <c r="L419" s="462"/>
    </row>
    <row r="420" spans="4:12" x14ac:dyDescent="0.2">
      <c r="D420" s="462"/>
      <c r="E420" s="462"/>
      <c r="F420" s="462"/>
      <c r="G420" s="462"/>
      <c r="H420" s="462"/>
      <c r="I420" s="462"/>
      <c r="J420" s="462"/>
      <c r="K420" s="462"/>
      <c r="L420" s="462"/>
    </row>
    <row r="421" spans="4:12" x14ac:dyDescent="0.2">
      <c r="D421" s="462"/>
      <c r="E421" s="462"/>
      <c r="F421" s="462"/>
      <c r="G421" s="462"/>
      <c r="H421" s="462"/>
      <c r="I421" s="462"/>
      <c r="J421" s="462"/>
      <c r="K421" s="462"/>
      <c r="L421" s="462"/>
    </row>
    <row r="422" spans="4:12" x14ac:dyDescent="0.2">
      <c r="D422" s="462"/>
      <c r="E422" s="462"/>
      <c r="F422" s="462"/>
      <c r="G422" s="462"/>
      <c r="H422" s="462"/>
      <c r="I422" s="462"/>
      <c r="J422" s="462"/>
      <c r="K422" s="462"/>
      <c r="L422" s="462"/>
    </row>
    <row r="423" spans="4:12" x14ac:dyDescent="0.2">
      <c r="D423" s="462"/>
      <c r="E423" s="462"/>
      <c r="F423" s="462"/>
      <c r="G423" s="462"/>
      <c r="H423" s="462"/>
      <c r="I423" s="462"/>
      <c r="J423" s="462"/>
      <c r="K423" s="462"/>
      <c r="L423" s="462"/>
    </row>
    <row r="424" spans="4:12" x14ac:dyDescent="0.2">
      <c r="D424" s="462"/>
      <c r="E424" s="462"/>
      <c r="F424" s="462"/>
      <c r="G424" s="462"/>
      <c r="H424" s="462"/>
      <c r="I424" s="462"/>
      <c r="J424" s="462"/>
      <c r="K424" s="462"/>
      <c r="L424" s="462"/>
    </row>
    <row r="425" spans="4:12" x14ac:dyDescent="0.2">
      <c r="D425" s="462"/>
      <c r="E425" s="462"/>
      <c r="F425" s="462"/>
      <c r="G425" s="462"/>
      <c r="H425" s="462"/>
      <c r="I425" s="462"/>
      <c r="J425" s="462"/>
      <c r="K425" s="462"/>
      <c r="L425" s="462"/>
    </row>
    <row r="426" spans="4:12" x14ac:dyDescent="0.2">
      <c r="D426" s="462"/>
      <c r="E426" s="462"/>
      <c r="F426" s="462"/>
      <c r="G426" s="462"/>
      <c r="H426" s="462"/>
      <c r="I426" s="462"/>
      <c r="J426" s="462"/>
      <c r="K426" s="462"/>
      <c r="L426" s="462"/>
    </row>
    <row r="427" spans="4:12" x14ac:dyDescent="0.2">
      <c r="D427" s="462"/>
      <c r="E427" s="462"/>
      <c r="F427" s="462"/>
      <c r="G427" s="462"/>
      <c r="H427" s="462"/>
      <c r="I427" s="462"/>
      <c r="J427" s="462"/>
      <c r="K427" s="462"/>
      <c r="L427" s="462"/>
    </row>
    <row r="428" spans="4:12" x14ac:dyDescent="0.2">
      <c r="D428" s="462"/>
      <c r="E428" s="462"/>
      <c r="F428" s="462"/>
      <c r="G428" s="462"/>
      <c r="H428" s="462"/>
      <c r="I428" s="462"/>
      <c r="J428" s="462"/>
      <c r="K428" s="462"/>
      <c r="L428" s="462"/>
    </row>
    <row r="429" spans="4:12" x14ac:dyDescent="0.2">
      <c r="D429" s="462"/>
      <c r="E429" s="462"/>
      <c r="F429" s="462"/>
      <c r="G429" s="462"/>
      <c r="H429" s="462"/>
      <c r="I429" s="462"/>
      <c r="J429" s="462"/>
      <c r="K429" s="462"/>
      <c r="L429" s="462"/>
    </row>
    <row r="430" spans="4:12" x14ac:dyDescent="0.2">
      <c r="D430" s="462"/>
      <c r="E430" s="462"/>
      <c r="F430" s="462"/>
      <c r="G430" s="462"/>
      <c r="H430" s="462"/>
      <c r="I430" s="462"/>
      <c r="J430" s="462"/>
      <c r="K430" s="462"/>
      <c r="L430" s="462"/>
    </row>
    <row r="431" spans="4:12" x14ac:dyDescent="0.2">
      <c r="D431" s="462"/>
      <c r="E431" s="462"/>
      <c r="F431" s="462"/>
      <c r="G431" s="462"/>
      <c r="H431" s="462"/>
      <c r="I431" s="462"/>
      <c r="J431" s="462"/>
      <c r="K431" s="462"/>
      <c r="L431" s="462"/>
    </row>
    <row r="432" spans="4:12" x14ac:dyDescent="0.2">
      <c r="D432" s="462"/>
      <c r="E432" s="462"/>
      <c r="F432" s="462"/>
      <c r="G432" s="462"/>
      <c r="H432" s="462"/>
      <c r="I432" s="462"/>
      <c r="J432" s="462"/>
      <c r="K432" s="462"/>
      <c r="L432" s="462"/>
    </row>
    <row r="433" spans="4:12" x14ac:dyDescent="0.2">
      <c r="D433" s="462"/>
      <c r="E433" s="462"/>
      <c r="F433" s="462"/>
      <c r="G433" s="462"/>
      <c r="H433" s="462"/>
      <c r="I433" s="462"/>
      <c r="J433" s="462"/>
      <c r="K433" s="462"/>
      <c r="L433" s="462"/>
    </row>
    <row r="434" spans="4:12" x14ac:dyDescent="0.2">
      <c r="D434" s="462"/>
      <c r="E434" s="462"/>
      <c r="F434" s="462"/>
      <c r="G434" s="462"/>
      <c r="H434" s="462"/>
      <c r="I434" s="462"/>
      <c r="J434" s="462"/>
      <c r="K434" s="462"/>
      <c r="L434" s="462"/>
    </row>
    <row r="435" spans="4:12" x14ac:dyDescent="0.2">
      <c r="D435" s="462"/>
      <c r="E435" s="462"/>
      <c r="F435" s="462"/>
      <c r="G435" s="462"/>
      <c r="H435" s="462"/>
      <c r="I435" s="462"/>
      <c r="J435" s="462"/>
      <c r="K435" s="462"/>
      <c r="L435" s="462"/>
    </row>
    <row r="436" spans="4:12" x14ac:dyDescent="0.2">
      <c r="D436" s="462"/>
      <c r="E436" s="462"/>
      <c r="F436" s="462"/>
      <c r="G436" s="462"/>
      <c r="H436" s="462"/>
      <c r="I436" s="462"/>
      <c r="J436" s="462"/>
      <c r="K436" s="462"/>
      <c r="L436" s="462"/>
    </row>
    <row r="437" spans="4:12" x14ac:dyDescent="0.2">
      <c r="D437" s="462"/>
      <c r="E437" s="462"/>
      <c r="F437" s="462"/>
      <c r="G437" s="462"/>
      <c r="H437" s="462"/>
      <c r="I437" s="462"/>
      <c r="J437" s="462"/>
      <c r="K437" s="462"/>
      <c r="L437" s="462"/>
    </row>
    <row r="438" spans="4:12" x14ac:dyDescent="0.2">
      <c r="D438" s="462"/>
      <c r="E438" s="462"/>
      <c r="F438" s="462"/>
      <c r="G438" s="462"/>
      <c r="H438" s="462"/>
      <c r="I438" s="462"/>
      <c r="J438" s="462"/>
      <c r="K438" s="462"/>
      <c r="L438" s="462"/>
    </row>
    <row r="439" spans="4:12" x14ac:dyDescent="0.2">
      <c r="D439" s="462"/>
      <c r="E439" s="462"/>
      <c r="F439" s="462"/>
      <c r="G439" s="462"/>
      <c r="H439" s="462"/>
      <c r="I439" s="462"/>
      <c r="J439" s="462"/>
      <c r="K439" s="462"/>
      <c r="L439" s="462"/>
    </row>
    <row r="440" spans="4:12" x14ac:dyDescent="0.2">
      <c r="D440" s="462"/>
      <c r="E440" s="462"/>
      <c r="F440" s="462"/>
      <c r="G440" s="462"/>
      <c r="H440" s="462"/>
      <c r="I440" s="462"/>
      <c r="J440" s="462"/>
      <c r="K440" s="462"/>
      <c r="L440" s="462"/>
    </row>
    <row r="441" spans="4:12" x14ac:dyDescent="0.2">
      <c r="D441" s="462"/>
      <c r="E441" s="462"/>
      <c r="F441" s="462"/>
      <c r="G441" s="462"/>
      <c r="H441" s="462"/>
      <c r="I441" s="462"/>
      <c r="J441" s="462"/>
      <c r="K441" s="462"/>
      <c r="L441" s="462"/>
    </row>
    <row r="442" spans="4:12" x14ac:dyDescent="0.2">
      <c r="D442" s="462"/>
      <c r="E442" s="462"/>
      <c r="F442" s="462"/>
      <c r="G442" s="462"/>
      <c r="H442" s="462"/>
      <c r="I442" s="462"/>
      <c r="J442" s="462"/>
      <c r="K442" s="462"/>
      <c r="L442" s="462"/>
    </row>
    <row r="443" spans="4:12" x14ac:dyDescent="0.2">
      <c r="D443" s="462"/>
      <c r="E443" s="462"/>
      <c r="F443" s="462"/>
      <c r="G443" s="462"/>
      <c r="H443" s="462"/>
      <c r="I443" s="462"/>
      <c r="J443" s="462"/>
      <c r="K443" s="462"/>
      <c r="L443" s="462"/>
    </row>
    <row r="444" spans="4:12" x14ac:dyDescent="0.2">
      <c r="D444" s="462"/>
      <c r="E444" s="462"/>
      <c r="F444" s="462"/>
      <c r="G444" s="462"/>
      <c r="H444" s="462"/>
      <c r="I444" s="462"/>
      <c r="J444" s="462"/>
      <c r="K444" s="462"/>
      <c r="L444" s="462"/>
    </row>
    <row r="445" spans="4:12" x14ac:dyDescent="0.2">
      <c r="D445" s="462"/>
      <c r="E445" s="462"/>
      <c r="F445" s="462"/>
      <c r="G445" s="462"/>
      <c r="H445" s="462"/>
      <c r="I445" s="462"/>
      <c r="J445" s="462"/>
      <c r="K445" s="462"/>
      <c r="L445" s="462"/>
    </row>
    <row r="446" spans="4:12" x14ac:dyDescent="0.2">
      <c r="D446" s="462"/>
      <c r="E446" s="462"/>
      <c r="F446" s="462"/>
      <c r="G446" s="462"/>
      <c r="H446" s="462"/>
      <c r="I446" s="462"/>
      <c r="J446" s="462"/>
      <c r="K446" s="462"/>
      <c r="L446" s="462"/>
    </row>
    <row r="447" spans="4:12" x14ac:dyDescent="0.2">
      <c r="D447" s="462"/>
      <c r="E447" s="462"/>
      <c r="F447" s="462"/>
      <c r="G447" s="462"/>
      <c r="H447" s="462"/>
      <c r="I447" s="462"/>
      <c r="J447" s="462"/>
      <c r="K447" s="462"/>
      <c r="L447" s="462"/>
    </row>
    <row r="448" spans="4:12" x14ac:dyDescent="0.2">
      <c r="D448" s="462"/>
      <c r="E448" s="462"/>
      <c r="F448" s="462"/>
      <c r="G448" s="462"/>
      <c r="H448" s="462"/>
      <c r="I448" s="462"/>
      <c r="J448" s="462"/>
      <c r="K448" s="462"/>
      <c r="L448" s="462"/>
    </row>
    <row r="449" spans="4:12" x14ac:dyDescent="0.2">
      <c r="D449" s="462"/>
      <c r="E449" s="462"/>
      <c r="F449" s="462"/>
      <c r="G449" s="462"/>
      <c r="H449" s="462"/>
      <c r="I449" s="462"/>
      <c r="J449" s="462"/>
      <c r="K449" s="462"/>
      <c r="L449" s="462"/>
    </row>
    <row r="450" spans="4:12" x14ac:dyDescent="0.2">
      <c r="D450" s="462"/>
      <c r="E450" s="462"/>
      <c r="F450" s="462"/>
      <c r="G450" s="462"/>
      <c r="H450" s="462"/>
      <c r="I450" s="462"/>
      <c r="J450" s="462"/>
      <c r="K450" s="462"/>
      <c r="L450" s="462"/>
    </row>
    <row r="451" spans="4:12" x14ac:dyDescent="0.2">
      <c r="D451" s="462"/>
      <c r="E451" s="462"/>
      <c r="F451" s="462"/>
      <c r="G451" s="462"/>
      <c r="H451" s="462"/>
      <c r="I451" s="462"/>
      <c r="J451" s="462"/>
      <c r="K451" s="462"/>
      <c r="L451" s="462"/>
    </row>
    <row r="452" spans="4:12" x14ac:dyDescent="0.2">
      <c r="D452" s="462"/>
      <c r="E452" s="462"/>
      <c r="F452" s="462"/>
      <c r="G452" s="462"/>
      <c r="H452" s="462"/>
      <c r="I452" s="462"/>
      <c r="J452" s="462"/>
      <c r="K452" s="462"/>
      <c r="L452" s="462"/>
    </row>
    <row r="453" spans="4:12" x14ac:dyDescent="0.2">
      <c r="D453" s="462"/>
      <c r="E453" s="462"/>
      <c r="F453" s="462"/>
      <c r="G453" s="462"/>
      <c r="H453" s="462"/>
      <c r="I453" s="462"/>
      <c r="J453" s="462"/>
      <c r="K453" s="462"/>
      <c r="L453" s="462"/>
    </row>
    <row r="454" spans="4:12" x14ac:dyDescent="0.2">
      <c r="D454" s="462"/>
      <c r="E454" s="462"/>
      <c r="F454" s="462"/>
      <c r="G454" s="462"/>
      <c r="H454" s="462"/>
      <c r="I454" s="462"/>
      <c r="J454" s="462"/>
      <c r="K454" s="462"/>
      <c r="L454" s="462"/>
    </row>
    <row r="455" spans="4:12" x14ac:dyDescent="0.2">
      <c r="D455" s="462"/>
      <c r="E455" s="462"/>
      <c r="F455" s="462"/>
      <c r="G455" s="462"/>
      <c r="H455" s="462"/>
      <c r="I455" s="462"/>
      <c r="J455" s="462"/>
      <c r="K455" s="462"/>
      <c r="L455" s="462"/>
    </row>
    <row r="456" spans="4:12" x14ac:dyDescent="0.2">
      <c r="D456" s="462"/>
      <c r="E456" s="462"/>
      <c r="F456" s="462"/>
      <c r="G456" s="462"/>
      <c r="H456" s="462"/>
      <c r="I456" s="462"/>
      <c r="J456" s="462"/>
      <c r="K456" s="462"/>
      <c r="L456" s="462"/>
    </row>
    <row r="457" spans="4:12" x14ac:dyDescent="0.2">
      <c r="D457" s="462"/>
      <c r="E457" s="462"/>
      <c r="F457" s="462"/>
      <c r="G457" s="462"/>
      <c r="H457" s="462"/>
      <c r="I457" s="462"/>
      <c r="J457" s="462"/>
      <c r="K457" s="462"/>
      <c r="L457" s="462"/>
    </row>
    <row r="458" spans="4:12" x14ac:dyDescent="0.2">
      <c r="D458" s="462"/>
      <c r="E458" s="462"/>
      <c r="F458" s="462"/>
      <c r="G458" s="462"/>
      <c r="H458" s="462"/>
      <c r="I458" s="462"/>
      <c r="J458" s="462"/>
      <c r="K458" s="462"/>
      <c r="L458" s="462"/>
    </row>
    <row r="459" spans="4:12" x14ac:dyDescent="0.2">
      <c r="D459" s="462"/>
      <c r="E459" s="462"/>
      <c r="F459" s="462"/>
      <c r="G459" s="462"/>
      <c r="H459" s="462"/>
      <c r="I459" s="462"/>
      <c r="J459" s="462"/>
      <c r="K459" s="462"/>
      <c r="L459" s="462"/>
    </row>
    <row r="460" spans="4:12" x14ac:dyDescent="0.2">
      <c r="D460" s="462"/>
      <c r="E460" s="462"/>
      <c r="F460" s="462"/>
      <c r="G460" s="462"/>
      <c r="H460" s="462"/>
      <c r="I460" s="462"/>
      <c r="J460" s="462"/>
      <c r="K460" s="462"/>
      <c r="L460" s="462"/>
    </row>
    <row r="461" spans="4:12" x14ac:dyDescent="0.2">
      <c r="D461" s="462"/>
      <c r="E461" s="462"/>
      <c r="F461" s="462"/>
      <c r="G461" s="462"/>
      <c r="H461" s="462"/>
      <c r="I461" s="462"/>
      <c r="J461" s="462"/>
      <c r="K461" s="462"/>
      <c r="L461" s="462"/>
    </row>
    <row r="462" spans="4:12" x14ac:dyDescent="0.2">
      <c r="D462" s="462"/>
      <c r="E462" s="462"/>
      <c r="F462" s="462"/>
      <c r="G462" s="462"/>
      <c r="H462" s="462"/>
      <c r="I462" s="462"/>
      <c r="J462" s="462"/>
      <c r="K462" s="462"/>
      <c r="L462" s="462"/>
    </row>
    <row r="463" spans="4:12" x14ac:dyDescent="0.2">
      <c r="D463" s="462"/>
      <c r="E463" s="462"/>
      <c r="F463" s="462"/>
      <c r="G463" s="462"/>
      <c r="H463" s="462"/>
      <c r="I463" s="462"/>
      <c r="J463" s="462"/>
      <c r="K463" s="462"/>
      <c r="L463" s="462"/>
    </row>
    <row r="464" spans="4:12" x14ac:dyDescent="0.2">
      <c r="D464" s="462"/>
      <c r="E464" s="462"/>
      <c r="F464" s="462"/>
      <c r="G464" s="462"/>
      <c r="H464" s="462"/>
      <c r="I464" s="462"/>
      <c r="J464" s="462"/>
      <c r="K464" s="462"/>
      <c r="L464" s="462"/>
    </row>
    <row r="465" spans="4:12" x14ac:dyDescent="0.2">
      <c r="D465" s="462"/>
      <c r="E465" s="462"/>
      <c r="F465" s="462"/>
      <c r="G465" s="462"/>
      <c r="H465" s="462"/>
      <c r="I465" s="462"/>
      <c r="J465" s="462"/>
      <c r="K465" s="462"/>
      <c r="L465" s="462"/>
    </row>
    <row r="466" spans="4:12" x14ac:dyDescent="0.2">
      <c r="D466" s="462"/>
      <c r="E466" s="462"/>
      <c r="F466" s="462"/>
      <c r="G466" s="462"/>
      <c r="H466" s="462"/>
      <c r="I466" s="462"/>
      <c r="J466" s="462"/>
      <c r="K466" s="462"/>
      <c r="L466" s="462"/>
    </row>
    <row r="467" spans="4:12" x14ac:dyDescent="0.2">
      <c r="D467" s="462"/>
      <c r="E467" s="462"/>
      <c r="F467" s="462"/>
      <c r="G467" s="462"/>
      <c r="H467" s="462"/>
      <c r="I467" s="462"/>
      <c r="J467" s="462"/>
      <c r="K467" s="462"/>
      <c r="L467" s="462"/>
    </row>
    <row r="468" spans="4:12" x14ac:dyDescent="0.2">
      <c r="D468" s="462"/>
      <c r="E468" s="462"/>
      <c r="F468" s="462"/>
      <c r="G468" s="462"/>
      <c r="H468" s="462"/>
      <c r="I468" s="462"/>
      <c r="J468" s="462"/>
      <c r="K468" s="462"/>
      <c r="L468" s="462"/>
    </row>
    <row r="469" spans="4:12" x14ac:dyDescent="0.2">
      <c r="D469" s="462"/>
      <c r="E469" s="462"/>
      <c r="F469" s="462"/>
      <c r="G469" s="462"/>
      <c r="H469" s="462"/>
      <c r="I469" s="462"/>
      <c r="J469" s="462"/>
      <c r="K469" s="462"/>
      <c r="L469" s="462"/>
    </row>
    <row r="470" spans="4:12" x14ac:dyDescent="0.2">
      <c r="D470" s="462"/>
      <c r="E470" s="462"/>
      <c r="F470" s="462"/>
      <c r="G470" s="462"/>
      <c r="H470" s="462"/>
      <c r="I470" s="462"/>
      <c r="J470" s="462"/>
      <c r="K470" s="462"/>
      <c r="L470" s="462"/>
    </row>
    <row r="471" spans="4:12" x14ac:dyDescent="0.2">
      <c r="D471" s="462"/>
      <c r="E471" s="462"/>
      <c r="F471" s="462"/>
      <c r="G471" s="462"/>
      <c r="H471" s="462"/>
      <c r="I471" s="462"/>
      <c r="J471" s="462"/>
      <c r="K471" s="462"/>
      <c r="L471" s="462"/>
    </row>
    <row r="472" spans="4:12" x14ac:dyDescent="0.2">
      <c r="D472" s="462"/>
      <c r="E472" s="462"/>
      <c r="F472" s="462"/>
      <c r="G472" s="462"/>
      <c r="H472" s="462"/>
      <c r="I472" s="462"/>
      <c r="J472" s="462"/>
      <c r="K472" s="462"/>
      <c r="L472" s="462"/>
    </row>
    <row r="473" spans="4:12" x14ac:dyDescent="0.2">
      <c r="D473" s="462"/>
      <c r="E473" s="462"/>
      <c r="F473" s="462"/>
      <c r="G473" s="462"/>
      <c r="H473" s="462"/>
      <c r="I473" s="462"/>
      <c r="J473" s="462"/>
      <c r="K473" s="462"/>
      <c r="L473" s="462"/>
    </row>
    <row r="474" spans="4:12" x14ac:dyDescent="0.2">
      <c r="D474" s="462"/>
      <c r="E474" s="462"/>
      <c r="F474" s="462"/>
      <c r="G474" s="462"/>
      <c r="H474" s="462"/>
      <c r="I474" s="462"/>
      <c r="J474" s="462"/>
      <c r="K474" s="462"/>
      <c r="L474" s="462"/>
    </row>
    <row r="475" spans="4:12" x14ac:dyDescent="0.2">
      <c r="D475" s="462"/>
      <c r="E475" s="462"/>
      <c r="F475" s="462"/>
      <c r="G475" s="462"/>
      <c r="H475" s="462"/>
      <c r="I475" s="462"/>
      <c r="J475" s="462"/>
      <c r="K475" s="462"/>
      <c r="L475" s="462"/>
    </row>
    <row r="476" spans="4:12" x14ac:dyDescent="0.2">
      <c r="D476" s="462"/>
      <c r="E476" s="462"/>
      <c r="F476" s="462"/>
      <c r="G476" s="462"/>
      <c r="H476" s="462"/>
      <c r="I476" s="462"/>
      <c r="J476" s="462"/>
      <c r="K476" s="462"/>
      <c r="L476" s="462"/>
    </row>
    <row r="477" spans="4:12" x14ac:dyDescent="0.2">
      <c r="D477" s="462"/>
      <c r="E477" s="462"/>
      <c r="F477" s="462"/>
      <c r="G477" s="462"/>
      <c r="H477" s="462"/>
      <c r="I477" s="462"/>
      <c r="J477" s="462"/>
      <c r="K477" s="462"/>
      <c r="L477" s="462"/>
    </row>
    <row r="478" spans="4:12" x14ac:dyDescent="0.2">
      <c r="D478" s="462"/>
      <c r="E478" s="462"/>
      <c r="F478" s="462"/>
      <c r="G478" s="462"/>
      <c r="H478" s="462"/>
      <c r="I478" s="462"/>
      <c r="J478" s="462"/>
      <c r="K478" s="462"/>
      <c r="L478" s="462"/>
    </row>
    <row r="479" spans="4:12" x14ac:dyDescent="0.2">
      <c r="D479" s="462"/>
      <c r="E479" s="462"/>
      <c r="F479" s="462"/>
      <c r="G479" s="462"/>
      <c r="H479" s="462"/>
      <c r="I479" s="462"/>
      <c r="J479" s="462"/>
      <c r="K479" s="462"/>
      <c r="L479" s="462"/>
    </row>
    <row r="480" spans="4:12" x14ac:dyDescent="0.2">
      <c r="D480" s="462"/>
      <c r="E480" s="462"/>
      <c r="F480" s="462"/>
      <c r="G480" s="462"/>
      <c r="H480" s="462"/>
      <c r="I480" s="462"/>
      <c r="J480" s="462"/>
      <c r="K480" s="462"/>
      <c r="L480" s="462"/>
    </row>
    <row r="481" spans="4:12" x14ac:dyDescent="0.2">
      <c r="D481" s="462"/>
      <c r="E481" s="462"/>
      <c r="F481" s="462"/>
      <c r="G481" s="462"/>
      <c r="H481" s="462"/>
      <c r="I481" s="462"/>
      <c r="J481" s="462"/>
      <c r="K481" s="462"/>
      <c r="L481" s="462"/>
    </row>
    <row r="482" spans="4:12" x14ac:dyDescent="0.2">
      <c r="D482" s="462"/>
      <c r="E482" s="462"/>
      <c r="F482" s="462"/>
      <c r="G482" s="462"/>
      <c r="H482" s="462"/>
      <c r="I482" s="462"/>
      <c r="J482" s="462"/>
      <c r="K482" s="462"/>
      <c r="L482" s="462"/>
    </row>
    <row r="483" spans="4:12" x14ac:dyDescent="0.2">
      <c r="D483" s="462"/>
      <c r="E483" s="462"/>
      <c r="F483" s="462"/>
      <c r="G483" s="462"/>
      <c r="H483" s="462"/>
      <c r="I483" s="462"/>
      <c r="J483" s="462"/>
      <c r="K483" s="462"/>
      <c r="L483" s="462"/>
    </row>
    <row r="484" spans="4:12" x14ac:dyDescent="0.2">
      <c r="D484" s="462"/>
      <c r="E484" s="462"/>
      <c r="F484" s="462"/>
      <c r="G484" s="462"/>
      <c r="H484" s="462"/>
      <c r="I484" s="462"/>
      <c r="J484" s="462"/>
      <c r="K484" s="462"/>
      <c r="L484" s="462"/>
    </row>
    <row r="485" spans="4:12" x14ac:dyDescent="0.2">
      <c r="D485" s="462"/>
      <c r="E485" s="462"/>
      <c r="F485" s="462"/>
      <c r="G485" s="462"/>
      <c r="H485" s="462"/>
      <c r="I485" s="462"/>
      <c r="J485" s="462"/>
      <c r="K485" s="462"/>
      <c r="L485" s="462"/>
    </row>
    <row r="486" spans="4:12" x14ac:dyDescent="0.2">
      <c r="D486" s="462"/>
      <c r="E486" s="462"/>
      <c r="F486" s="462"/>
      <c r="G486" s="462"/>
      <c r="H486" s="462"/>
      <c r="I486" s="462"/>
      <c r="J486" s="462"/>
      <c r="K486" s="462"/>
      <c r="L486" s="462"/>
    </row>
    <row r="487" spans="4:12" x14ac:dyDescent="0.2">
      <c r="D487" s="462"/>
      <c r="E487" s="462"/>
      <c r="F487" s="462"/>
      <c r="G487" s="462"/>
      <c r="H487" s="462"/>
      <c r="I487" s="462"/>
      <c r="J487" s="462"/>
      <c r="K487" s="462"/>
      <c r="L487" s="462"/>
    </row>
    <row r="488" spans="4:12" x14ac:dyDescent="0.2">
      <c r="D488" s="462"/>
      <c r="E488" s="462"/>
      <c r="F488" s="462"/>
      <c r="G488" s="462"/>
      <c r="H488" s="462"/>
      <c r="I488" s="462"/>
      <c r="J488" s="462"/>
      <c r="K488" s="462"/>
      <c r="L488" s="462"/>
    </row>
    <row r="489" spans="4:12" x14ac:dyDescent="0.2">
      <c r="D489" s="462"/>
      <c r="E489" s="462"/>
      <c r="F489" s="462"/>
      <c r="G489" s="462"/>
      <c r="H489" s="462"/>
      <c r="I489" s="462"/>
      <c r="J489" s="462"/>
      <c r="K489" s="462"/>
      <c r="L489" s="462"/>
    </row>
    <row r="490" spans="4:12" x14ac:dyDescent="0.2">
      <c r="D490" s="462"/>
      <c r="E490" s="462"/>
      <c r="F490" s="462"/>
      <c r="G490" s="462"/>
      <c r="H490" s="462"/>
      <c r="I490" s="462"/>
      <c r="J490" s="462"/>
      <c r="K490" s="462"/>
      <c r="L490" s="462"/>
    </row>
    <row r="491" spans="4:12" x14ac:dyDescent="0.2">
      <c r="D491" s="462"/>
      <c r="E491" s="462"/>
      <c r="F491" s="462"/>
      <c r="G491" s="462"/>
      <c r="H491" s="462"/>
      <c r="I491" s="462"/>
      <c r="J491" s="462"/>
      <c r="K491" s="462"/>
      <c r="L491" s="462"/>
    </row>
    <row r="492" spans="4:12" x14ac:dyDescent="0.2">
      <c r="D492" s="462"/>
      <c r="E492" s="462"/>
      <c r="F492" s="462"/>
      <c r="G492" s="462"/>
      <c r="H492" s="462"/>
      <c r="I492" s="462"/>
      <c r="J492" s="462"/>
      <c r="K492" s="462"/>
      <c r="L492" s="462"/>
    </row>
    <row r="493" spans="4:12" x14ac:dyDescent="0.2">
      <c r="D493" s="462"/>
      <c r="E493" s="462"/>
      <c r="F493" s="462"/>
      <c r="G493" s="462"/>
      <c r="H493" s="462"/>
      <c r="I493" s="462"/>
      <c r="J493" s="462"/>
      <c r="K493" s="462"/>
      <c r="L493" s="462"/>
    </row>
    <row r="494" spans="4:12" x14ac:dyDescent="0.2">
      <c r="D494" s="462"/>
      <c r="E494" s="462"/>
      <c r="F494" s="462"/>
      <c r="G494" s="462"/>
      <c r="H494" s="462"/>
      <c r="I494" s="462"/>
      <c r="J494" s="462"/>
      <c r="K494" s="462"/>
      <c r="L494" s="462"/>
    </row>
    <row r="495" spans="4:12" x14ac:dyDescent="0.2">
      <c r="D495" s="462"/>
      <c r="E495" s="462"/>
      <c r="F495" s="462"/>
      <c r="G495" s="462"/>
      <c r="H495" s="462"/>
      <c r="I495" s="462"/>
      <c r="J495" s="462"/>
      <c r="K495" s="462"/>
      <c r="L495" s="462"/>
    </row>
    <row r="496" spans="4:12" x14ac:dyDescent="0.2">
      <c r="D496" s="462"/>
      <c r="E496" s="462"/>
      <c r="F496" s="462"/>
      <c r="G496" s="462"/>
      <c r="H496" s="462"/>
      <c r="I496" s="462"/>
      <c r="J496" s="462"/>
      <c r="K496" s="462"/>
      <c r="L496" s="462"/>
    </row>
    <row r="497" spans="4:12" x14ac:dyDescent="0.2">
      <c r="D497" s="462"/>
      <c r="E497" s="462"/>
      <c r="F497" s="462"/>
      <c r="G497" s="462"/>
      <c r="H497" s="462"/>
      <c r="I497" s="462"/>
      <c r="J497" s="462"/>
      <c r="K497" s="462"/>
      <c r="L497" s="462"/>
    </row>
    <row r="498" spans="4:12" x14ac:dyDescent="0.2">
      <c r="D498" s="462"/>
      <c r="E498" s="462"/>
      <c r="F498" s="462"/>
      <c r="G498" s="462"/>
      <c r="H498" s="462"/>
      <c r="I498" s="462"/>
      <c r="J498" s="462"/>
      <c r="K498" s="462"/>
      <c r="L498" s="462"/>
    </row>
    <row r="499" spans="4:12" x14ac:dyDescent="0.2">
      <c r="D499" s="462"/>
      <c r="E499" s="462"/>
      <c r="F499" s="462"/>
      <c r="G499" s="462"/>
      <c r="H499" s="462"/>
      <c r="I499" s="462"/>
      <c r="J499" s="462"/>
      <c r="K499" s="462"/>
      <c r="L499" s="462"/>
    </row>
    <row r="500" spans="4:12" x14ac:dyDescent="0.2">
      <c r="D500" s="462"/>
      <c r="E500" s="462"/>
      <c r="F500" s="462"/>
      <c r="G500" s="462"/>
      <c r="H500" s="462"/>
      <c r="I500" s="462"/>
      <c r="J500" s="462"/>
      <c r="K500" s="462"/>
      <c r="L500" s="462"/>
    </row>
    <row r="501" spans="4:12" x14ac:dyDescent="0.2">
      <c r="D501" s="462"/>
      <c r="E501" s="462"/>
      <c r="F501" s="462"/>
      <c r="G501" s="462"/>
      <c r="H501" s="462"/>
      <c r="I501" s="462"/>
      <c r="J501" s="462"/>
      <c r="K501" s="462"/>
      <c r="L501" s="462"/>
    </row>
    <row r="502" spans="4:12" x14ac:dyDescent="0.2">
      <c r="D502" s="462"/>
      <c r="E502" s="462"/>
      <c r="F502" s="462"/>
      <c r="G502" s="462"/>
      <c r="H502" s="462"/>
      <c r="I502" s="462"/>
      <c r="J502" s="462"/>
      <c r="K502" s="462"/>
      <c r="L502" s="462"/>
    </row>
    <row r="503" spans="4:12" x14ac:dyDescent="0.2">
      <c r="D503" s="462"/>
      <c r="E503" s="462"/>
      <c r="F503" s="462"/>
      <c r="G503" s="462"/>
      <c r="H503" s="462"/>
      <c r="I503" s="462"/>
      <c r="J503" s="462"/>
      <c r="K503" s="462"/>
      <c r="L503" s="462"/>
    </row>
    <row r="504" spans="4:12" x14ac:dyDescent="0.2">
      <c r="D504" s="462"/>
      <c r="E504" s="462"/>
      <c r="F504" s="462"/>
      <c r="G504" s="462"/>
      <c r="H504" s="462"/>
      <c r="I504" s="462"/>
      <c r="J504" s="462"/>
      <c r="K504" s="462"/>
      <c r="L504" s="462"/>
    </row>
    <row r="505" spans="4:12" x14ac:dyDescent="0.2">
      <c r="D505" s="462"/>
      <c r="E505" s="462"/>
      <c r="F505" s="462"/>
      <c r="G505" s="462"/>
      <c r="H505" s="462"/>
      <c r="I505" s="462"/>
      <c r="J505" s="462"/>
      <c r="K505" s="462"/>
      <c r="L505" s="462"/>
    </row>
    <row r="506" spans="4:12" x14ac:dyDescent="0.2">
      <c r="D506" s="462"/>
      <c r="E506" s="462"/>
      <c r="F506" s="462"/>
      <c r="G506" s="462"/>
      <c r="H506" s="462"/>
      <c r="I506" s="462"/>
      <c r="J506" s="462"/>
      <c r="K506" s="462"/>
      <c r="L506" s="462"/>
    </row>
    <row r="507" spans="4:12" x14ac:dyDescent="0.2">
      <c r="D507" s="462"/>
      <c r="E507" s="462"/>
      <c r="F507" s="462"/>
      <c r="G507" s="462"/>
      <c r="H507" s="462"/>
      <c r="I507" s="462"/>
      <c r="J507" s="462"/>
      <c r="K507" s="462"/>
      <c r="L507" s="462"/>
    </row>
    <row r="508" spans="4:12" x14ac:dyDescent="0.2">
      <c r="D508" s="462"/>
      <c r="E508" s="462"/>
      <c r="F508" s="462"/>
      <c r="G508" s="462"/>
      <c r="H508" s="462"/>
      <c r="I508" s="462"/>
      <c r="J508" s="462"/>
      <c r="K508" s="462"/>
      <c r="L508" s="462"/>
    </row>
    <row r="509" spans="4:12" x14ac:dyDescent="0.2">
      <c r="D509" s="462"/>
      <c r="E509" s="462"/>
      <c r="F509" s="462"/>
      <c r="G509" s="462"/>
      <c r="H509" s="462"/>
      <c r="I509" s="462"/>
      <c r="J509" s="462"/>
      <c r="K509" s="462"/>
      <c r="L509" s="462"/>
    </row>
    <row r="510" spans="4:12" x14ac:dyDescent="0.2">
      <c r="D510" s="462"/>
      <c r="E510" s="462"/>
      <c r="F510" s="462"/>
      <c r="G510" s="462"/>
      <c r="H510" s="462"/>
      <c r="I510" s="462"/>
      <c r="J510" s="462"/>
      <c r="K510" s="462"/>
      <c r="L510" s="462"/>
    </row>
    <row r="511" spans="4:12" x14ac:dyDescent="0.2">
      <c r="D511" s="462"/>
      <c r="E511" s="462"/>
      <c r="F511" s="462"/>
      <c r="G511" s="462"/>
      <c r="H511" s="462"/>
      <c r="I511" s="462"/>
      <c r="J511" s="462"/>
      <c r="K511" s="462"/>
      <c r="L511" s="462"/>
    </row>
    <row r="512" spans="4:12" x14ac:dyDescent="0.2">
      <c r="D512" s="462"/>
      <c r="E512" s="462"/>
      <c r="F512" s="462"/>
      <c r="G512" s="462"/>
      <c r="H512" s="462"/>
      <c r="I512" s="462"/>
      <c r="J512" s="462"/>
      <c r="K512" s="462"/>
      <c r="L512" s="462"/>
    </row>
    <row r="513" spans="4:12" x14ac:dyDescent="0.2">
      <c r="D513" s="462"/>
      <c r="E513" s="462"/>
      <c r="F513" s="462"/>
      <c r="G513" s="462"/>
      <c r="H513" s="462"/>
      <c r="I513" s="462"/>
      <c r="J513" s="462"/>
      <c r="K513" s="462"/>
      <c r="L513" s="462"/>
    </row>
    <row r="514" spans="4:12" x14ac:dyDescent="0.2">
      <c r="D514" s="462"/>
      <c r="E514" s="462"/>
      <c r="F514" s="462"/>
      <c r="G514" s="462"/>
      <c r="H514" s="462"/>
      <c r="I514" s="462"/>
      <c r="J514" s="462"/>
      <c r="K514" s="462"/>
      <c r="L514" s="462"/>
    </row>
    <row r="515" spans="4:12" x14ac:dyDescent="0.2">
      <c r="D515" s="462"/>
      <c r="E515" s="462"/>
      <c r="F515" s="462"/>
      <c r="G515" s="462"/>
      <c r="H515" s="462"/>
      <c r="I515" s="462"/>
      <c r="J515" s="462"/>
      <c r="K515" s="462"/>
      <c r="L515" s="462"/>
    </row>
    <row r="516" spans="4:12" x14ac:dyDescent="0.2">
      <c r="D516" s="462"/>
      <c r="E516" s="462"/>
      <c r="F516" s="462"/>
      <c r="G516" s="462"/>
      <c r="H516" s="462"/>
      <c r="I516" s="462"/>
      <c r="J516" s="462"/>
      <c r="K516" s="462"/>
      <c r="L516" s="462"/>
    </row>
    <row r="517" spans="4:12" x14ac:dyDescent="0.2">
      <c r="D517" s="462"/>
      <c r="E517" s="462"/>
      <c r="F517" s="462"/>
      <c r="G517" s="462"/>
      <c r="H517" s="462"/>
      <c r="I517" s="462"/>
      <c r="J517" s="462"/>
      <c r="K517" s="462"/>
      <c r="L517" s="462"/>
    </row>
    <row r="518" spans="4:12" x14ac:dyDescent="0.2">
      <c r="D518" s="462"/>
      <c r="E518" s="462"/>
      <c r="F518" s="462"/>
      <c r="G518" s="462"/>
      <c r="H518" s="462"/>
      <c r="I518" s="462"/>
      <c r="J518" s="462"/>
      <c r="K518" s="462"/>
      <c r="L518" s="462"/>
    </row>
    <row r="519" spans="4:12" x14ac:dyDescent="0.2">
      <c r="D519" s="462"/>
      <c r="E519" s="462"/>
      <c r="F519" s="462"/>
      <c r="G519" s="462"/>
      <c r="H519" s="462"/>
      <c r="I519" s="462"/>
      <c r="J519" s="462"/>
      <c r="K519" s="462"/>
      <c r="L519" s="462"/>
    </row>
    <row r="520" spans="4:12" x14ac:dyDescent="0.2">
      <c r="D520" s="462"/>
      <c r="E520" s="462"/>
      <c r="F520" s="462"/>
      <c r="G520" s="462"/>
      <c r="H520" s="462"/>
      <c r="I520" s="462"/>
      <c r="J520" s="462"/>
      <c r="K520" s="462"/>
      <c r="L520" s="462"/>
    </row>
    <row r="521" spans="4:12" x14ac:dyDescent="0.2">
      <c r="D521" s="462"/>
      <c r="E521" s="462"/>
      <c r="F521" s="462"/>
      <c r="G521" s="462"/>
      <c r="H521" s="462"/>
      <c r="I521" s="462"/>
      <c r="J521" s="462"/>
      <c r="K521" s="462"/>
      <c r="L521" s="462"/>
    </row>
    <row r="522" spans="4:12" x14ac:dyDescent="0.2">
      <c r="D522" s="462"/>
      <c r="E522" s="462"/>
      <c r="F522" s="462"/>
      <c r="G522" s="462"/>
      <c r="H522" s="462"/>
      <c r="I522" s="462"/>
      <c r="J522" s="462"/>
      <c r="K522" s="462"/>
      <c r="L522" s="462"/>
    </row>
    <row r="523" spans="4:12" x14ac:dyDescent="0.2">
      <c r="D523" s="462"/>
      <c r="E523" s="462"/>
      <c r="F523" s="462"/>
      <c r="G523" s="462"/>
      <c r="H523" s="462"/>
      <c r="I523" s="462"/>
      <c r="J523" s="462"/>
      <c r="K523" s="462"/>
      <c r="L523" s="462"/>
    </row>
    <row r="524" spans="4:12" x14ac:dyDescent="0.2">
      <c r="D524" s="462"/>
      <c r="E524" s="462"/>
      <c r="F524" s="462"/>
      <c r="G524" s="462"/>
      <c r="H524" s="462"/>
      <c r="I524" s="462"/>
      <c r="J524" s="462"/>
      <c r="K524" s="462"/>
      <c r="L524" s="462"/>
    </row>
    <row r="525" spans="4:12" x14ac:dyDescent="0.2">
      <c r="D525" s="462"/>
      <c r="E525" s="462"/>
      <c r="F525" s="462"/>
      <c r="G525" s="462"/>
      <c r="H525" s="462"/>
      <c r="I525" s="462"/>
      <c r="J525" s="462"/>
      <c r="K525" s="462"/>
      <c r="L525" s="462"/>
    </row>
    <row r="526" spans="4:12" x14ac:dyDescent="0.2">
      <c r="D526" s="462"/>
      <c r="E526" s="462"/>
      <c r="F526" s="462"/>
      <c r="G526" s="462"/>
      <c r="H526" s="462"/>
      <c r="I526" s="462"/>
      <c r="J526" s="462"/>
      <c r="K526" s="462"/>
      <c r="L526" s="462"/>
    </row>
    <row r="527" spans="4:12" x14ac:dyDescent="0.2">
      <c r="D527" s="462"/>
      <c r="E527" s="462"/>
      <c r="F527" s="462"/>
      <c r="G527" s="462"/>
      <c r="H527" s="462"/>
      <c r="I527" s="462"/>
      <c r="J527" s="462"/>
      <c r="K527" s="462"/>
      <c r="L527" s="462"/>
    </row>
    <row r="528" spans="4:12" x14ac:dyDescent="0.2">
      <c r="D528" s="462"/>
      <c r="E528" s="462"/>
      <c r="F528" s="462"/>
      <c r="G528" s="462"/>
      <c r="H528" s="462"/>
      <c r="I528" s="462"/>
      <c r="J528" s="462"/>
      <c r="K528" s="462"/>
      <c r="L528" s="462"/>
    </row>
    <row r="529" spans="4:12" x14ac:dyDescent="0.2">
      <c r="D529" s="462"/>
      <c r="E529" s="462"/>
      <c r="F529" s="462"/>
      <c r="G529" s="462"/>
      <c r="H529" s="462"/>
      <c r="I529" s="462"/>
      <c r="J529" s="462"/>
      <c r="K529" s="462"/>
      <c r="L529" s="462"/>
    </row>
    <row r="530" spans="4:12" x14ac:dyDescent="0.2">
      <c r="D530" s="462"/>
      <c r="E530" s="462"/>
      <c r="F530" s="462"/>
      <c r="G530" s="462"/>
      <c r="H530" s="462"/>
      <c r="I530" s="462"/>
      <c r="J530" s="462"/>
      <c r="K530" s="462"/>
      <c r="L530" s="462"/>
    </row>
    <row r="531" spans="4:12" x14ac:dyDescent="0.2">
      <c r="D531" s="462"/>
      <c r="E531" s="462"/>
      <c r="F531" s="462"/>
      <c r="G531" s="462"/>
      <c r="H531" s="462"/>
      <c r="I531" s="462"/>
      <c r="J531" s="462"/>
      <c r="K531" s="462"/>
      <c r="L531" s="462"/>
    </row>
    <row r="532" spans="4:12" x14ac:dyDescent="0.2">
      <c r="D532" s="462"/>
      <c r="E532" s="462"/>
      <c r="F532" s="462"/>
      <c r="G532" s="462"/>
      <c r="H532" s="462"/>
      <c r="I532" s="462"/>
      <c r="J532" s="462"/>
      <c r="K532" s="462"/>
      <c r="L532" s="462"/>
    </row>
    <row r="533" spans="4:12" x14ac:dyDescent="0.2">
      <c r="D533" s="462"/>
      <c r="E533" s="462"/>
      <c r="F533" s="462"/>
      <c r="G533" s="462"/>
      <c r="H533" s="462"/>
      <c r="I533" s="462"/>
      <c r="J533" s="462"/>
      <c r="K533" s="462"/>
      <c r="L533" s="462"/>
    </row>
    <row r="534" spans="4:12" x14ac:dyDescent="0.2">
      <c r="D534" s="462"/>
      <c r="E534" s="462"/>
      <c r="F534" s="462"/>
      <c r="G534" s="462"/>
      <c r="H534" s="462"/>
      <c r="I534" s="462"/>
      <c r="J534" s="462"/>
      <c r="K534" s="462"/>
      <c r="L534" s="462"/>
    </row>
    <row r="535" spans="4:12" x14ac:dyDescent="0.2">
      <c r="D535" s="462"/>
      <c r="E535" s="462"/>
      <c r="F535" s="462"/>
      <c r="G535" s="462"/>
      <c r="H535" s="462"/>
      <c r="I535" s="462"/>
      <c r="J535" s="462"/>
      <c r="K535" s="462"/>
      <c r="L535" s="462"/>
    </row>
    <row r="536" spans="4:12" x14ac:dyDescent="0.2">
      <c r="D536" s="462"/>
      <c r="E536" s="462"/>
      <c r="F536" s="462"/>
      <c r="G536" s="462"/>
      <c r="H536" s="462"/>
      <c r="I536" s="462"/>
      <c r="J536" s="462"/>
      <c r="K536" s="462"/>
      <c r="L536" s="462"/>
    </row>
    <row r="537" spans="4:12" x14ac:dyDescent="0.2">
      <c r="D537" s="462"/>
      <c r="E537" s="462"/>
      <c r="F537" s="462"/>
      <c r="G537" s="462"/>
      <c r="H537" s="462"/>
      <c r="I537" s="462"/>
      <c r="J537" s="462"/>
      <c r="K537" s="462"/>
      <c r="L537" s="462"/>
    </row>
    <row r="538" spans="4:12" x14ac:dyDescent="0.2">
      <c r="D538" s="462"/>
      <c r="E538" s="462"/>
      <c r="F538" s="462"/>
      <c r="G538" s="462"/>
      <c r="H538" s="462"/>
      <c r="I538" s="462"/>
      <c r="J538" s="462"/>
      <c r="K538" s="462"/>
      <c r="L538" s="462"/>
    </row>
    <row r="539" spans="4:12" x14ac:dyDescent="0.2">
      <c r="D539" s="462"/>
      <c r="E539" s="462"/>
      <c r="F539" s="462"/>
      <c r="G539" s="462"/>
      <c r="H539" s="462"/>
      <c r="I539" s="462"/>
      <c r="J539" s="462"/>
      <c r="K539" s="462"/>
      <c r="L539" s="462"/>
    </row>
    <row r="540" spans="4:12" x14ac:dyDescent="0.2">
      <c r="D540" s="462"/>
      <c r="E540" s="462"/>
      <c r="F540" s="462"/>
      <c r="G540" s="462"/>
      <c r="H540" s="462"/>
      <c r="I540" s="462"/>
      <c r="J540" s="462"/>
      <c r="K540" s="462"/>
      <c r="L540" s="462"/>
    </row>
    <row r="541" spans="4:12" x14ac:dyDescent="0.2">
      <c r="D541" s="462"/>
      <c r="E541" s="462"/>
      <c r="F541" s="462"/>
      <c r="G541" s="462"/>
      <c r="H541" s="462"/>
      <c r="I541" s="462"/>
      <c r="J541" s="462"/>
      <c r="K541" s="462"/>
      <c r="L541" s="462"/>
    </row>
    <row r="542" spans="4:12" x14ac:dyDescent="0.2">
      <c r="D542" s="462"/>
      <c r="E542" s="462"/>
      <c r="F542" s="462"/>
      <c r="G542" s="462"/>
      <c r="H542" s="462"/>
      <c r="I542" s="462"/>
      <c r="J542" s="462"/>
      <c r="K542" s="462"/>
      <c r="L542" s="462"/>
    </row>
    <row r="543" spans="4:12" x14ac:dyDescent="0.2">
      <c r="D543" s="462"/>
      <c r="E543" s="462"/>
      <c r="F543" s="462"/>
      <c r="G543" s="462"/>
      <c r="H543" s="462"/>
      <c r="I543" s="462"/>
      <c r="J543" s="462"/>
      <c r="K543" s="462"/>
      <c r="L543" s="462"/>
    </row>
    <row r="544" spans="4:12" x14ac:dyDescent="0.2">
      <c r="D544" s="462"/>
      <c r="E544" s="462"/>
      <c r="F544" s="462"/>
      <c r="G544" s="462"/>
      <c r="H544" s="462"/>
      <c r="I544" s="462"/>
      <c r="J544" s="462"/>
      <c r="K544" s="462"/>
      <c r="L544" s="462"/>
    </row>
    <row r="545" spans="4:12" x14ac:dyDescent="0.2">
      <c r="D545" s="462"/>
      <c r="E545" s="462"/>
      <c r="F545" s="462"/>
      <c r="G545" s="462"/>
      <c r="H545" s="462"/>
      <c r="I545" s="462"/>
      <c r="J545" s="462"/>
      <c r="K545" s="462"/>
      <c r="L545" s="462"/>
    </row>
    <row r="546" spans="4:12" x14ac:dyDescent="0.2">
      <c r="D546" s="462"/>
      <c r="E546" s="462"/>
      <c r="F546" s="462"/>
      <c r="G546" s="462"/>
      <c r="H546" s="462"/>
      <c r="I546" s="462"/>
      <c r="J546" s="462"/>
      <c r="K546" s="462"/>
      <c r="L546" s="462"/>
    </row>
    <row r="547" spans="4:12" x14ac:dyDescent="0.2">
      <c r="D547" s="462"/>
      <c r="E547" s="462"/>
      <c r="F547" s="462"/>
      <c r="G547" s="462"/>
      <c r="H547" s="462"/>
      <c r="I547" s="462"/>
      <c r="J547" s="462"/>
      <c r="K547" s="462"/>
      <c r="L547" s="462"/>
    </row>
    <row r="548" spans="4:12" x14ac:dyDescent="0.2">
      <c r="D548" s="462"/>
      <c r="E548" s="462"/>
      <c r="F548" s="462"/>
      <c r="G548" s="462"/>
      <c r="H548" s="462"/>
      <c r="I548" s="462"/>
      <c r="J548" s="462"/>
      <c r="K548" s="462"/>
      <c r="L548" s="462"/>
    </row>
    <row r="549" spans="4:12" x14ac:dyDescent="0.2">
      <c r="D549" s="462"/>
      <c r="E549" s="462"/>
      <c r="F549" s="462"/>
      <c r="G549" s="462"/>
      <c r="H549" s="462"/>
      <c r="I549" s="462"/>
      <c r="J549" s="462"/>
      <c r="K549" s="462"/>
      <c r="L549" s="462"/>
    </row>
    <row r="550" spans="4:12" x14ac:dyDescent="0.2">
      <c r="D550" s="462"/>
      <c r="E550" s="462"/>
      <c r="F550" s="462"/>
      <c r="G550" s="462"/>
      <c r="H550" s="462"/>
      <c r="I550" s="462"/>
      <c r="J550" s="462"/>
      <c r="K550" s="462"/>
      <c r="L550" s="462"/>
    </row>
    <row r="551" spans="4:12" x14ac:dyDescent="0.2">
      <c r="D551" s="462"/>
      <c r="E551" s="462"/>
      <c r="F551" s="462"/>
      <c r="G551" s="462"/>
      <c r="H551" s="462"/>
      <c r="I551" s="462"/>
      <c r="J551" s="462"/>
      <c r="K551" s="462"/>
      <c r="L551" s="462"/>
    </row>
    <row r="552" spans="4:12" x14ac:dyDescent="0.2">
      <c r="D552" s="462"/>
      <c r="E552" s="462"/>
      <c r="F552" s="462"/>
      <c r="G552" s="462"/>
      <c r="H552" s="462"/>
      <c r="I552" s="462"/>
      <c r="J552" s="462"/>
      <c r="K552" s="462"/>
      <c r="L552" s="462"/>
    </row>
    <row r="553" spans="4:12" x14ac:dyDescent="0.2">
      <c r="D553" s="462"/>
      <c r="E553" s="462"/>
      <c r="F553" s="462"/>
      <c r="G553" s="462"/>
      <c r="H553" s="462"/>
      <c r="I553" s="462"/>
      <c r="J553" s="462"/>
      <c r="K553" s="462"/>
      <c r="L553" s="462"/>
    </row>
    <row r="554" spans="4:12" x14ac:dyDescent="0.2">
      <c r="D554" s="462"/>
      <c r="E554" s="462"/>
      <c r="F554" s="462"/>
      <c r="G554" s="462"/>
      <c r="H554" s="462"/>
      <c r="I554" s="462"/>
      <c r="J554" s="462"/>
      <c r="K554" s="462"/>
      <c r="L554" s="462"/>
    </row>
    <row r="555" spans="4:12" x14ac:dyDescent="0.2">
      <c r="D555" s="462"/>
      <c r="E555" s="462"/>
      <c r="F555" s="462"/>
      <c r="G555" s="462"/>
      <c r="H555" s="462"/>
      <c r="I555" s="462"/>
      <c r="J555" s="462"/>
      <c r="K555" s="462"/>
      <c r="L555" s="462"/>
    </row>
    <row r="556" spans="4:12" x14ac:dyDescent="0.2">
      <c r="D556" s="462"/>
      <c r="E556" s="462"/>
      <c r="F556" s="462"/>
      <c r="G556" s="462"/>
      <c r="H556" s="462"/>
      <c r="I556" s="462"/>
      <c r="J556" s="462"/>
      <c r="K556" s="462"/>
      <c r="L556" s="462"/>
    </row>
    <row r="557" spans="4:12" x14ac:dyDescent="0.2">
      <c r="D557" s="462"/>
      <c r="E557" s="462"/>
      <c r="F557" s="462"/>
      <c r="G557" s="462"/>
      <c r="H557" s="462"/>
      <c r="I557" s="462"/>
      <c r="J557" s="462"/>
      <c r="K557" s="462"/>
      <c r="L557" s="462"/>
    </row>
    <row r="558" spans="4:12" x14ac:dyDescent="0.2">
      <c r="D558" s="462"/>
      <c r="E558" s="462"/>
      <c r="F558" s="462"/>
      <c r="G558" s="462"/>
      <c r="H558" s="462"/>
      <c r="I558" s="462"/>
      <c r="J558" s="462"/>
      <c r="K558" s="462"/>
      <c r="L558" s="462"/>
    </row>
    <row r="559" spans="4:12" x14ac:dyDescent="0.2">
      <c r="D559" s="462"/>
      <c r="E559" s="462"/>
      <c r="F559" s="462"/>
      <c r="G559" s="462"/>
      <c r="H559" s="462"/>
      <c r="I559" s="462"/>
      <c r="J559" s="462"/>
      <c r="K559" s="462"/>
      <c r="L559" s="462"/>
    </row>
    <row r="560" spans="4:12" x14ac:dyDescent="0.2">
      <c r="D560" s="462"/>
      <c r="E560" s="462"/>
      <c r="F560" s="462"/>
      <c r="G560" s="462"/>
      <c r="H560" s="462"/>
      <c r="I560" s="462"/>
      <c r="J560" s="462"/>
      <c r="K560" s="462"/>
      <c r="L560" s="462"/>
    </row>
    <row r="561" spans="4:12" x14ac:dyDescent="0.2">
      <c r="D561" s="462"/>
      <c r="E561" s="462"/>
      <c r="F561" s="462"/>
      <c r="G561" s="462"/>
      <c r="H561" s="462"/>
      <c r="I561" s="462"/>
      <c r="J561" s="462"/>
      <c r="K561" s="462"/>
      <c r="L561" s="462"/>
    </row>
    <row r="562" spans="4:12" x14ac:dyDescent="0.2">
      <c r="D562" s="462"/>
      <c r="E562" s="462"/>
      <c r="F562" s="462"/>
      <c r="G562" s="462"/>
      <c r="H562" s="462"/>
      <c r="I562" s="462"/>
      <c r="J562" s="462"/>
      <c r="K562" s="462"/>
      <c r="L562" s="462"/>
    </row>
    <row r="563" spans="4:12" x14ac:dyDescent="0.2">
      <c r="D563" s="462"/>
      <c r="E563" s="462"/>
      <c r="F563" s="462"/>
      <c r="G563" s="462"/>
      <c r="H563" s="462"/>
      <c r="I563" s="462"/>
      <c r="J563" s="462"/>
      <c r="K563" s="462"/>
      <c r="L563" s="462"/>
    </row>
    <row r="564" spans="4:12" x14ac:dyDescent="0.2">
      <c r="D564" s="462"/>
      <c r="E564" s="462"/>
      <c r="F564" s="462"/>
      <c r="G564" s="462"/>
      <c r="H564" s="462"/>
      <c r="I564" s="462"/>
      <c r="J564" s="462"/>
      <c r="K564" s="462"/>
      <c r="L564" s="462"/>
    </row>
    <row r="565" spans="4:12" x14ac:dyDescent="0.2">
      <c r="D565" s="462"/>
      <c r="E565" s="462"/>
      <c r="F565" s="462"/>
      <c r="G565" s="462"/>
      <c r="H565" s="462"/>
      <c r="I565" s="462"/>
      <c r="J565" s="462"/>
      <c r="K565" s="462"/>
      <c r="L565" s="462"/>
    </row>
    <row r="566" spans="4:12" x14ac:dyDescent="0.2">
      <c r="D566" s="462"/>
      <c r="E566" s="462"/>
      <c r="F566" s="462"/>
      <c r="G566" s="462"/>
      <c r="H566" s="462"/>
      <c r="I566" s="462"/>
      <c r="J566" s="462"/>
      <c r="K566" s="462"/>
      <c r="L566" s="462"/>
    </row>
    <row r="567" spans="4:12" x14ac:dyDescent="0.2">
      <c r="D567" s="462"/>
      <c r="E567" s="462"/>
      <c r="F567" s="462"/>
      <c r="G567" s="462"/>
      <c r="H567" s="462"/>
      <c r="I567" s="462"/>
      <c r="J567" s="462"/>
      <c r="K567" s="462"/>
      <c r="L567" s="462"/>
    </row>
    <row r="568" spans="4:12" x14ac:dyDescent="0.2">
      <c r="D568" s="462"/>
      <c r="E568" s="462"/>
      <c r="F568" s="462"/>
      <c r="G568" s="462"/>
      <c r="H568" s="462"/>
      <c r="I568" s="462"/>
      <c r="J568" s="462"/>
      <c r="K568" s="462"/>
      <c r="L568" s="462"/>
    </row>
    <row r="569" spans="4:12" x14ac:dyDescent="0.2">
      <c r="D569" s="462"/>
      <c r="E569" s="462"/>
      <c r="F569" s="462"/>
      <c r="G569" s="462"/>
      <c r="H569" s="462"/>
      <c r="I569" s="462"/>
      <c r="J569" s="462"/>
      <c r="K569" s="462"/>
      <c r="L569" s="462"/>
    </row>
    <row r="570" spans="4:12" x14ac:dyDescent="0.2">
      <c r="D570" s="462"/>
      <c r="E570" s="462"/>
      <c r="F570" s="462"/>
      <c r="G570" s="462"/>
      <c r="H570" s="462"/>
      <c r="I570" s="462"/>
      <c r="J570" s="462"/>
      <c r="K570" s="462"/>
      <c r="L570" s="462"/>
    </row>
    <row r="571" spans="4:12" x14ac:dyDescent="0.2">
      <c r="D571" s="462"/>
      <c r="E571" s="462"/>
      <c r="F571" s="462"/>
      <c r="G571" s="462"/>
      <c r="H571" s="462"/>
      <c r="I571" s="462"/>
      <c r="J571" s="462"/>
      <c r="K571" s="462"/>
      <c r="L571" s="462"/>
    </row>
    <row r="572" spans="4:12" x14ac:dyDescent="0.2">
      <c r="D572" s="462"/>
      <c r="E572" s="462"/>
      <c r="F572" s="462"/>
      <c r="G572" s="462"/>
      <c r="H572" s="462"/>
      <c r="I572" s="462"/>
      <c r="J572" s="462"/>
      <c r="K572" s="462"/>
      <c r="L572" s="462"/>
    </row>
    <row r="573" spans="4:12" x14ac:dyDescent="0.2">
      <c r="D573" s="462"/>
      <c r="E573" s="462"/>
      <c r="F573" s="462"/>
      <c r="G573" s="462"/>
      <c r="H573" s="462"/>
      <c r="I573" s="462"/>
      <c r="J573" s="462"/>
      <c r="K573" s="462"/>
      <c r="L573" s="462"/>
    </row>
    <row r="574" spans="4:12" x14ac:dyDescent="0.2">
      <c r="D574" s="462"/>
      <c r="E574" s="462"/>
      <c r="F574" s="462"/>
      <c r="G574" s="462"/>
      <c r="H574" s="462"/>
      <c r="I574" s="462"/>
      <c r="J574" s="462"/>
      <c r="K574" s="462"/>
      <c r="L574" s="462"/>
    </row>
    <row r="575" spans="4:12" x14ac:dyDescent="0.2">
      <c r="D575" s="462"/>
      <c r="E575" s="462"/>
      <c r="F575" s="462"/>
      <c r="G575" s="462"/>
      <c r="H575" s="462"/>
      <c r="I575" s="462"/>
      <c r="J575" s="462"/>
      <c r="K575" s="462"/>
      <c r="L575" s="462"/>
    </row>
    <row r="576" spans="4:12" x14ac:dyDescent="0.2">
      <c r="D576" s="462"/>
      <c r="E576" s="462"/>
      <c r="F576" s="462"/>
      <c r="G576" s="462"/>
      <c r="H576" s="462"/>
      <c r="I576" s="462"/>
      <c r="J576" s="462"/>
      <c r="K576" s="462"/>
      <c r="L576" s="462"/>
    </row>
    <row r="577" spans="4:12" x14ac:dyDescent="0.2">
      <c r="D577" s="462"/>
      <c r="E577" s="462"/>
      <c r="F577" s="462"/>
      <c r="G577" s="462"/>
      <c r="H577" s="462"/>
      <c r="I577" s="462"/>
      <c r="J577" s="462"/>
      <c r="K577" s="462"/>
      <c r="L577" s="462"/>
    </row>
    <row r="578" spans="4:12" x14ac:dyDescent="0.2">
      <c r="D578" s="462"/>
      <c r="E578" s="462"/>
      <c r="F578" s="462"/>
      <c r="G578" s="462"/>
      <c r="H578" s="462"/>
      <c r="I578" s="462"/>
      <c r="J578" s="462"/>
      <c r="K578" s="462"/>
      <c r="L578" s="462"/>
    </row>
    <row r="579" spans="4:12" x14ac:dyDescent="0.2">
      <c r="D579" s="462"/>
      <c r="E579" s="462"/>
      <c r="F579" s="462"/>
      <c r="G579" s="462"/>
      <c r="H579" s="462"/>
      <c r="I579" s="462"/>
      <c r="J579" s="462"/>
      <c r="K579" s="462"/>
      <c r="L579" s="462"/>
    </row>
    <row r="580" spans="4:12" x14ac:dyDescent="0.2">
      <c r="D580" s="462"/>
      <c r="E580" s="462"/>
      <c r="F580" s="462"/>
      <c r="G580" s="462"/>
      <c r="H580" s="462"/>
      <c r="I580" s="462"/>
      <c r="J580" s="462"/>
      <c r="K580" s="462"/>
      <c r="L580" s="462"/>
    </row>
    <row r="581" spans="4:12" x14ac:dyDescent="0.2">
      <c r="D581" s="462"/>
      <c r="E581" s="462"/>
      <c r="F581" s="462"/>
      <c r="G581" s="462"/>
      <c r="H581" s="462"/>
      <c r="I581" s="462"/>
      <c r="J581" s="462"/>
      <c r="K581" s="462"/>
      <c r="L581" s="462"/>
    </row>
    <row r="582" spans="4:12" x14ac:dyDescent="0.2">
      <c r="D582" s="462"/>
      <c r="E582" s="462"/>
      <c r="F582" s="462"/>
      <c r="G582" s="462"/>
      <c r="H582" s="462"/>
      <c r="I582" s="462"/>
      <c r="J582" s="462"/>
      <c r="K582" s="462"/>
      <c r="L582" s="462"/>
    </row>
    <row r="583" spans="4:12" x14ac:dyDescent="0.2">
      <c r="D583" s="462"/>
      <c r="E583" s="462"/>
      <c r="F583" s="462"/>
      <c r="G583" s="462"/>
      <c r="H583" s="462"/>
      <c r="I583" s="462"/>
      <c r="J583" s="462"/>
      <c r="K583" s="462"/>
      <c r="L583" s="462"/>
    </row>
    <row r="584" spans="4:12" x14ac:dyDescent="0.2">
      <c r="D584" s="462"/>
      <c r="E584" s="462"/>
      <c r="F584" s="462"/>
      <c r="G584" s="462"/>
      <c r="H584" s="462"/>
      <c r="I584" s="462"/>
      <c r="J584" s="462"/>
      <c r="K584" s="462"/>
      <c r="L584" s="462"/>
    </row>
    <row r="585" spans="4:12" x14ac:dyDescent="0.2">
      <c r="D585" s="462"/>
      <c r="E585" s="462"/>
      <c r="F585" s="462"/>
      <c r="G585" s="462"/>
      <c r="H585" s="462"/>
      <c r="I585" s="462"/>
      <c r="J585" s="462"/>
      <c r="K585" s="462"/>
      <c r="L585" s="462"/>
    </row>
    <row r="586" spans="4:12" x14ac:dyDescent="0.2">
      <c r="D586" s="462"/>
      <c r="E586" s="462"/>
      <c r="F586" s="462"/>
      <c r="G586" s="462"/>
      <c r="H586" s="462"/>
      <c r="I586" s="462"/>
      <c r="J586" s="462"/>
      <c r="K586" s="462"/>
      <c r="L586" s="462"/>
    </row>
    <row r="587" spans="4:12" x14ac:dyDescent="0.2">
      <c r="D587" s="462"/>
      <c r="E587" s="462"/>
      <c r="F587" s="462"/>
      <c r="G587" s="462"/>
      <c r="H587" s="462"/>
      <c r="I587" s="462"/>
      <c r="J587" s="462"/>
      <c r="K587" s="462"/>
      <c r="L587" s="462"/>
    </row>
    <row r="588" spans="4:12" x14ac:dyDescent="0.2">
      <c r="D588" s="462"/>
      <c r="E588" s="462"/>
      <c r="F588" s="462"/>
      <c r="G588" s="462"/>
      <c r="H588" s="462"/>
      <c r="I588" s="462"/>
      <c r="J588" s="462"/>
      <c r="K588" s="462"/>
      <c r="L588" s="462"/>
    </row>
    <row r="589" spans="4:12" x14ac:dyDescent="0.2">
      <c r="D589" s="462"/>
      <c r="E589" s="462"/>
      <c r="F589" s="462"/>
      <c r="G589" s="462"/>
      <c r="H589" s="462"/>
      <c r="I589" s="462"/>
      <c r="J589" s="462"/>
      <c r="K589" s="462"/>
      <c r="L589" s="462"/>
    </row>
    <row r="590" spans="4:12" x14ac:dyDescent="0.2">
      <c r="D590" s="462"/>
      <c r="E590" s="462"/>
      <c r="F590" s="462"/>
      <c r="G590" s="462"/>
      <c r="H590" s="462"/>
      <c r="I590" s="462"/>
      <c r="J590" s="462"/>
      <c r="K590" s="462"/>
      <c r="L590" s="462"/>
    </row>
    <row r="591" spans="4:12" x14ac:dyDescent="0.2">
      <c r="D591" s="462"/>
      <c r="E591" s="462"/>
      <c r="F591" s="462"/>
      <c r="G591" s="462"/>
      <c r="H591" s="462"/>
      <c r="I591" s="462"/>
      <c r="J591" s="462"/>
      <c r="K591" s="462"/>
      <c r="L591" s="462"/>
    </row>
    <row r="592" spans="4:12" x14ac:dyDescent="0.2">
      <c r="D592" s="462"/>
      <c r="E592" s="462"/>
      <c r="F592" s="462"/>
      <c r="G592" s="462"/>
      <c r="H592" s="462"/>
      <c r="I592" s="462"/>
      <c r="J592" s="462"/>
      <c r="K592" s="462"/>
      <c r="L592" s="462"/>
    </row>
    <row r="593" spans="4:12" x14ac:dyDescent="0.2">
      <c r="D593" s="462"/>
      <c r="E593" s="462"/>
      <c r="F593" s="462"/>
      <c r="G593" s="462"/>
      <c r="H593" s="462"/>
      <c r="I593" s="462"/>
      <c r="J593" s="462"/>
      <c r="K593" s="462"/>
      <c r="L593" s="462"/>
    </row>
    <row r="594" spans="4:12" x14ac:dyDescent="0.2">
      <c r="D594" s="462"/>
      <c r="E594" s="462"/>
      <c r="F594" s="462"/>
      <c r="G594" s="462"/>
      <c r="H594" s="462"/>
      <c r="I594" s="462"/>
      <c r="J594" s="462"/>
      <c r="K594" s="462"/>
      <c r="L594" s="462"/>
    </row>
    <row r="595" spans="4:12" x14ac:dyDescent="0.2">
      <c r="D595" s="462"/>
      <c r="E595" s="462"/>
      <c r="F595" s="462"/>
      <c r="G595" s="462"/>
      <c r="H595" s="462"/>
      <c r="I595" s="462"/>
      <c r="J595" s="462"/>
      <c r="K595" s="462"/>
      <c r="L595" s="462"/>
    </row>
    <row r="596" spans="4:12" x14ac:dyDescent="0.2">
      <c r="D596" s="462"/>
      <c r="E596" s="462"/>
      <c r="F596" s="462"/>
      <c r="G596" s="462"/>
      <c r="H596" s="462"/>
      <c r="I596" s="462"/>
      <c r="J596" s="462"/>
      <c r="K596" s="462"/>
      <c r="L596" s="462"/>
    </row>
    <row r="597" spans="4:12" x14ac:dyDescent="0.2">
      <c r="D597" s="462"/>
      <c r="E597" s="462"/>
      <c r="F597" s="462"/>
      <c r="G597" s="462"/>
      <c r="H597" s="462"/>
      <c r="I597" s="462"/>
      <c r="J597" s="462"/>
      <c r="K597" s="462"/>
      <c r="L597" s="462"/>
    </row>
    <row r="598" spans="4:12" x14ac:dyDescent="0.2">
      <c r="D598" s="462"/>
      <c r="E598" s="462"/>
      <c r="F598" s="462"/>
      <c r="G598" s="462"/>
      <c r="H598" s="462"/>
      <c r="I598" s="462"/>
      <c r="J598" s="462"/>
      <c r="K598" s="462"/>
      <c r="L598" s="462"/>
    </row>
    <row r="599" spans="4:12" x14ac:dyDescent="0.2">
      <c r="D599" s="462"/>
      <c r="E599" s="462"/>
      <c r="F599" s="462"/>
      <c r="G599" s="462"/>
      <c r="H599" s="462"/>
      <c r="I599" s="462"/>
      <c r="J599" s="462"/>
      <c r="K599" s="462"/>
      <c r="L599" s="462"/>
    </row>
    <row r="600" spans="4:12" x14ac:dyDescent="0.2">
      <c r="D600" s="462"/>
      <c r="E600" s="462"/>
      <c r="F600" s="462"/>
      <c r="G600" s="462"/>
      <c r="H600" s="462"/>
      <c r="I600" s="462"/>
      <c r="J600" s="462"/>
      <c r="K600" s="462"/>
      <c r="L600" s="462"/>
    </row>
    <row r="601" spans="4:12" x14ac:dyDescent="0.2">
      <c r="D601" s="462"/>
      <c r="E601" s="462"/>
      <c r="F601" s="462"/>
      <c r="G601" s="462"/>
      <c r="H601" s="462"/>
      <c r="I601" s="462"/>
      <c r="J601" s="462"/>
      <c r="K601" s="462"/>
      <c r="L601" s="462"/>
    </row>
    <row r="602" spans="4:12" x14ac:dyDescent="0.2">
      <c r="D602" s="462"/>
      <c r="E602" s="462"/>
      <c r="F602" s="462"/>
      <c r="G602" s="462"/>
      <c r="H602" s="462"/>
      <c r="I602" s="462"/>
      <c r="J602" s="462"/>
      <c r="K602" s="462"/>
      <c r="L602" s="462"/>
    </row>
    <row r="603" spans="4:12" x14ac:dyDescent="0.2">
      <c r="D603" s="462"/>
      <c r="E603" s="462"/>
      <c r="F603" s="462"/>
      <c r="G603" s="462"/>
      <c r="H603" s="462"/>
      <c r="I603" s="462"/>
      <c r="J603" s="462"/>
      <c r="K603" s="462"/>
      <c r="L603" s="462"/>
    </row>
    <row r="604" spans="4:12" x14ac:dyDescent="0.2">
      <c r="D604" s="462"/>
      <c r="E604" s="462"/>
      <c r="F604" s="462"/>
      <c r="G604" s="462"/>
      <c r="H604" s="462"/>
      <c r="I604" s="462"/>
      <c r="J604" s="462"/>
      <c r="K604" s="462"/>
      <c r="L604" s="462"/>
    </row>
    <row r="605" spans="4:12" x14ac:dyDescent="0.2">
      <c r="D605" s="462"/>
      <c r="E605" s="462"/>
      <c r="F605" s="462"/>
      <c r="G605" s="462"/>
      <c r="H605" s="462"/>
      <c r="I605" s="462"/>
      <c r="J605" s="462"/>
      <c r="K605" s="462"/>
      <c r="L605" s="462"/>
    </row>
    <row r="606" spans="4:12" x14ac:dyDescent="0.2">
      <c r="D606" s="462"/>
      <c r="E606" s="462"/>
      <c r="F606" s="462"/>
      <c r="G606" s="462"/>
      <c r="H606" s="462"/>
      <c r="I606" s="462"/>
      <c r="J606" s="462"/>
      <c r="K606" s="462"/>
      <c r="L606" s="462"/>
    </row>
    <row r="607" spans="4:12" x14ac:dyDescent="0.2">
      <c r="D607" s="462"/>
      <c r="E607" s="462"/>
      <c r="F607" s="462"/>
      <c r="G607" s="462"/>
      <c r="H607" s="462"/>
      <c r="I607" s="462"/>
      <c r="J607" s="462"/>
      <c r="K607" s="462"/>
      <c r="L607" s="462"/>
    </row>
    <row r="608" spans="4:12" x14ac:dyDescent="0.2">
      <c r="D608" s="462"/>
      <c r="E608" s="462"/>
      <c r="F608" s="462"/>
      <c r="G608" s="462"/>
      <c r="H608" s="462"/>
      <c r="I608" s="462"/>
      <c r="J608" s="462"/>
      <c r="K608" s="462"/>
      <c r="L608" s="462"/>
    </row>
    <row r="609" spans="4:12" x14ac:dyDescent="0.2">
      <c r="D609" s="462"/>
      <c r="E609" s="462"/>
      <c r="F609" s="462"/>
      <c r="G609" s="462"/>
      <c r="H609" s="462"/>
      <c r="I609" s="462"/>
      <c r="J609" s="462"/>
      <c r="K609" s="462"/>
      <c r="L609" s="462"/>
    </row>
    <row r="610" spans="4:12" x14ac:dyDescent="0.2">
      <c r="D610" s="462"/>
      <c r="E610" s="462"/>
      <c r="F610" s="462"/>
      <c r="G610" s="462"/>
      <c r="H610" s="462"/>
      <c r="I610" s="462"/>
      <c r="J610" s="462"/>
      <c r="K610" s="462"/>
      <c r="L610" s="462"/>
    </row>
    <row r="611" spans="4:12" x14ac:dyDescent="0.2">
      <c r="D611" s="462"/>
      <c r="E611" s="462"/>
      <c r="F611" s="462"/>
      <c r="G611" s="462"/>
      <c r="H611" s="462"/>
      <c r="I611" s="462"/>
      <c r="J611" s="462"/>
      <c r="K611" s="462"/>
      <c r="L611" s="462"/>
    </row>
    <row r="612" spans="4:12" x14ac:dyDescent="0.2">
      <c r="D612" s="462"/>
      <c r="E612" s="462"/>
      <c r="F612" s="462"/>
      <c r="G612" s="462"/>
      <c r="H612" s="462"/>
      <c r="I612" s="462"/>
      <c r="J612" s="462"/>
      <c r="K612" s="462"/>
      <c r="L612" s="462"/>
    </row>
    <row r="613" spans="4:12" x14ac:dyDescent="0.2">
      <c r="D613" s="462"/>
      <c r="E613" s="462"/>
      <c r="F613" s="462"/>
      <c r="G613" s="462"/>
      <c r="H613" s="462"/>
      <c r="I613" s="462"/>
      <c r="J613" s="462"/>
      <c r="K613" s="462"/>
      <c r="L613" s="462"/>
    </row>
    <row r="614" spans="4:12" x14ac:dyDescent="0.2">
      <c r="D614" s="462"/>
      <c r="E614" s="462"/>
      <c r="F614" s="462"/>
      <c r="G614" s="462"/>
      <c r="H614" s="462"/>
      <c r="I614" s="462"/>
      <c r="J614" s="462"/>
      <c r="K614" s="462"/>
      <c r="L614" s="462"/>
    </row>
    <row r="615" spans="4:12" x14ac:dyDescent="0.2">
      <c r="D615" s="462"/>
      <c r="E615" s="462"/>
      <c r="F615" s="462"/>
      <c r="G615" s="462"/>
      <c r="H615" s="462"/>
      <c r="I615" s="462"/>
      <c r="J615" s="462"/>
      <c r="K615" s="462"/>
      <c r="L615" s="462"/>
    </row>
    <row r="616" spans="4:12" x14ac:dyDescent="0.2">
      <c r="D616" s="462"/>
      <c r="E616" s="462"/>
      <c r="F616" s="462"/>
      <c r="G616" s="462"/>
      <c r="H616" s="462"/>
      <c r="I616" s="462"/>
      <c r="J616" s="462"/>
      <c r="K616" s="462"/>
      <c r="L616" s="462"/>
    </row>
    <row r="617" spans="4:12" x14ac:dyDescent="0.2">
      <c r="D617" s="462"/>
      <c r="E617" s="462"/>
      <c r="F617" s="462"/>
      <c r="G617" s="462"/>
      <c r="H617" s="462"/>
      <c r="I617" s="462"/>
      <c r="J617" s="462"/>
      <c r="K617" s="462"/>
      <c r="L617" s="462"/>
    </row>
    <row r="618" spans="4:12" x14ac:dyDescent="0.2">
      <c r="D618" s="462"/>
      <c r="E618" s="462"/>
      <c r="F618" s="462"/>
      <c r="G618" s="462"/>
      <c r="H618" s="462"/>
      <c r="I618" s="462"/>
      <c r="J618" s="462"/>
      <c r="K618" s="462"/>
      <c r="L618" s="462"/>
    </row>
    <row r="619" spans="4:12" x14ac:dyDescent="0.2">
      <c r="D619" s="462"/>
      <c r="E619" s="462"/>
      <c r="F619" s="462"/>
      <c r="G619" s="462"/>
      <c r="H619" s="462"/>
      <c r="I619" s="462"/>
      <c r="J619" s="462"/>
      <c r="K619" s="462"/>
      <c r="L619" s="462"/>
    </row>
    <row r="620" spans="4:12" x14ac:dyDescent="0.2">
      <c r="D620" s="462"/>
      <c r="E620" s="462"/>
      <c r="F620" s="462"/>
      <c r="G620" s="462"/>
      <c r="H620" s="462"/>
      <c r="I620" s="462"/>
      <c r="J620" s="462"/>
      <c r="K620" s="462"/>
      <c r="L620" s="462"/>
    </row>
    <row r="621" spans="4:12" x14ac:dyDescent="0.2">
      <c r="D621" s="462"/>
      <c r="E621" s="462"/>
      <c r="F621" s="462"/>
      <c r="G621" s="462"/>
      <c r="H621" s="462"/>
      <c r="I621" s="462"/>
      <c r="J621" s="462"/>
      <c r="K621" s="462"/>
      <c r="L621" s="462"/>
    </row>
    <row r="622" spans="4:12" x14ac:dyDescent="0.2">
      <c r="D622" s="462"/>
      <c r="E622" s="462"/>
      <c r="F622" s="462"/>
      <c r="G622" s="462"/>
      <c r="H622" s="462"/>
      <c r="I622" s="462"/>
      <c r="J622" s="462"/>
      <c r="K622" s="462"/>
      <c r="L622" s="462"/>
    </row>
    <row r="623" spans="4:12" x14ac:dyDescent="0.2">
      <c r="D623" s="462"/>
      <c r="E623" s="462"/>
      <c r="F623" s="462"/>
      <c r="G623" s="462"/>
      <c r="H623" s="462"/>
      <c r="I623" s="462"/>
      <c r="J623" s="462"/>
      <c r="K623" s="462"/>
      <c r="L623" s="462"/>
    </row>
    <row r="624" spans="4:12" x14ac:dyDescent="0.2">
      <c r="D624" s="462"/>
      <c r="E624" s="462"/>
      <c r="F624" s="462"/>
      <c r="G624" s="462"/>
      <c r="H624" s="462"/>
      <c r="I624" s="462"/>
      <c r="J624" s="462"/>
      <c r="K624" s="462"/>
      <c r="L624" s="462"/>
    </row>
    <row r="625" spans="4:12" x14ac:dyDescent="0.2">
      <c r="D625" s="462"/>
      <c r="E625" s="462"/>
      <c r="F625" s="462"/>
      <c r="G625" s="462"/>
      <c r="H625" s="462"/>
      <c r="I625" s="462"/>
      <c r="J625" s="462"/>
      <c r="K625" s="462"/>
      <c r="L625" s="462"/>
    </row>
    <row r="626" spans="4:12" x14ac:dyDescent="0.2">
      <c r="D626" s="462"/>
      <c r="E626" s="462"/>
      <c r="F626" s="462"/>
      <c r="G626" s="462"/>
      <c r="H626" s="462"/>
      <c r="I626" s="462"/>
      <c r="J626" s="462"/>
      <c r="K626" s="462"/>
      <c r="L626" s="462"/>
    </row>
    <row r="627" spans="4:12" x14ac:dyDescent="0.2">
      <c r="D627" s="462"/>
      <c r="E627" s="462"/>
      <c r="F627" s="462"/>
      <c r="G627" s="462"/>
      <c r="H627" s="462"/>
      <c r="I627" s="462"/>
      <c r="J627" s="462"/>
      <c r="K627" s="462"/>
      <c r="L627" s="462"/>
    </row>
    <row r="628" spans="4:12" x14ac:dyDescent="0.2">
      <c r="D628" s="462"/>
      <c r="E628" s="462"/>
      <c r="F628" s="462"/>
      <c r="G628" s="462"/>
      <c r="H628" s="462"/>
      <c r="I628" s="462"/>
      <c r="J628" s="462"/>
      <c r="K628" s="462"/>
      <c r="L628" s="462"/>
    </row>
    <row r="629" spans="4:12" x14ac:dyDescent="0.2">
      <c r="D629" s="462"/>
      <c r="E629" s="462"/>
      <c r="F629" s="462"/>
      <c r="G629" s="462"/>
      <c r="H629" s="462"/>
      <c r="I629" s="462"/>
      <c r="J629" s="462"/>
      <c r="K629" s="462"/>
      <c r="L629" s="462"/>
    </row>
    <row r="630" spans="4:12" x14ac:dyDescent="0.2">
      <c r="D630" s="462"/>
      <c r="E630" s="462"/>
      <c r="F630" s="462"/>
      <c r="G630" s="462"/>
      <c r="H630" s="462"/>
      <c r="I630" s="462"/>
      <c r="J630" s="462"/>
      <c r="K630" s="462"/>
      <c r="L630" s="462"/>
    </row>
    <row r="631" spans="4:12" x14ac:dyDescent="0.2">
      <c r="D631" s="462"/>
      <c r="E631" s="462"/>
      <c r="F631" s="462"/>
      <c r="G631" s="462"/>
      <c r="H631" s="462"/>
      <c r="I631" s="462"/>
      <c r="J631" s="462"/>
      <c r="K631" s="462"/>
      <c r="L631" s="462"/>
    </row>
    <row r="632" spans="4:12" x14ac:dyDescent="0.2">
      <c r="D632" s="462"/>
      <c r="E632" s="462"/>
      <c r="F632" s="462"/>
      <c r="G632" s="462"/>
      <c r="H632" s="462"/>
      <c r="I632" s="462"/>
      <c r="J632" s="462"/>
      <c r="K632" s="462"/>
      <c r="L632" s="462"/>
    </row>
    <row r="633" spans="4:12" x14ac:dyDescent="0.2">
      <c r="D633" s="462"/>
      <c r="E633" s="462"/>
      <c r="F633" s="462"/>
      <c r="G633" s="462"/>
      <c r="H633" s="462"/>
      <c r="I633" s="462"/>
      <c r="J633" s="462"/>
      <c r="K633" s="462"/>
      <c r="L633" s="462"/>
    </row>
    <row r="634" spans="4:12" x14ac:dyDescent="0.2">
      <c r="D634" s="462"/>
      <c r="E634" s="462"/>
      <c r="F634" s="462"/>
      <c r="G634" s="462"/>
      <c r="H634" s="462"/>
      <c r="I634" s="462"/>
      <c r="J634" s="462"/>
      <c r="K634" s="462"/>
      <c r="L634" s="462"/>
    </row>
    <row r="635" spans="4:12" x14ac:dyDescent="0.2">
      <c r="D635" s="462"/>
      <c r="E635" s="462"/>
      <c r="F635" s="462"/>
      <c r="G635" s="462"/>
      <c r="H635" s="462"/>
      <c r="I635" s="462"/>
      <c r="J635" s="462"/>
      <c r="K635" s="462"/>
      <c r="L635" s="462"/>
    </row>
  </sheetData>
  <mergeCells count="23">
    <mergeCell ref="B64:D64"/>
    <mergeCell ref="B65:D65"/>
    <mergeCell ref="F63:G63"/>
    <mergeCell ref="F64:G64"/>
    <mergeCell ref="F1:F2"/>
    <mergeCell ref="G1:G2"/>
    <mergeCell ref="H1:T1"/>
    <mergeCell ref="U1:AF1"/>
    <mergeCell ref="A1:A2"/>
    <mergeCell ref="B1:B2"/>
    <mergeCell ref="C1:C2"/>
    <mergeCell ref="D1:D2"/>
    <mergeCell ref="E1:E2"/>
    <mergeCell ref="AV1:AV2"/>
    <mergeCell ref="AH1:AT1"/>
    <mergeCell ref="BO1:BP1"/>
    <mergeCell ref="BC1:BN1"/>
    <mergeCell ref="AY1:AY2"/>
    <mergeCell ref="AZ1:AZ2"/>
    <mergeCell ref="BA1:BA2"/>
    <mergeCell ref="BB1:BB2"/>
    <mergeCell ref="AW1:AW2"/>
    <mergeCell ref="AX1:AX2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E52" sqref="E52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275</v>
      </c>
      <c r="B3" s="487">
        <v>0.375</v>
      </c>
      <c r="C3" s="488">
        <v>2013</v>
      </c>
      <c r="D3" s="488">
        <v>3</v>
      </c>
      <c r="E3" s="488">
        <v>1</v>
      </c>
      <c r="F3" s="489">
        <v>170006</v>
      </c>
      <c r="G3" s="488">
        <v>0</v>
      </c>
      <c r="H3" s="489">
        <v>23443</v>
      </c>
      <c r="I3" s="488">
        <v>0</v>
      </c>
      <c r="J3" s="488">
        <v>0</v>
      </c>
      <c r="K3" s="488">
        <v>0</v>
      </c>
      <c r="L3" s="490">
        <v>325.57729999999998</v>
      </c>
      <c r="M3" s="489">
        <v>22.1</v>
      </c>
      <c r="N3" s="491">
        <v>0</v>
      </c>
      <c r="O3" s="492">
        <v>10532</v>
      </c>
      <c r="P3" s="493">
        <f>F4-F3</f>
        <v>10532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10532</v>
      </c>
      <c r="W3" s="498">
        <f>V3*35.31467</f>
        <v>371934.10443999997</v>
      </c>
      <c r="X3" s="497"/>
      <c r="Y3" s="499">
        <f>V3*R3/1000000</f>
        <v>90.835542735371092</v>
      </c>
      <c r="Z3" s="500">
        <f>S3*V3/1000000</f>
        <v>380.31025032445166</v>
      </c>
      <c r="AA3" s="501">
        <f>W3*T3/1000000</f>
        <v>360.46354425860818</v>
      </c>
      <c r="AE3" s="598" t="str">
        <f>RIGHT(F3,6)</f>
        <v>170006</v>
      </c>
      <c r="AF3" s="486">
        <v>275</v>
      </c>
      <c r="AG3" s="491">
        <v>1</v>
      </c>
      <c r="AH3" s="599">
        <v>170006</v>
      </c>
      <c r="AI3" s="600">
        <f>IFERROR(AE3*1,0)</f>
        <v>170006</v>
      </c>
      <c r="AJ3" s="601">
        <f>(AI3-AH3)</f>
        <v>0</v>
      </c>
      <c r="AL3" s="602">
        <f>AH4-AH3</f>
        <v>10536</v>
      </c>
      <c r="AM3" s="603">
        <f>AI4-AI3</f>
        <v>10532</v>
      </c>
      <c r="AN3" s="604">
        <f>(AM3-AL3)</f>
        <v>-4</v>
      </c>
      <c r="AO3" s="605">
        <f>IFERROR(AN3/AM3,"")</f>
        <v>-3.7979491074819596E-4</v>
      </c>
    </row>
    <row r="4" spans="1:41" x14ac:dyDescent="0.2">
      <c r="A4" s="502">
        <v>275</v>
      </c>
      <c r="B4" s="503">
        <v>0.375</v>
      </c>
      <c r="C4" s="504">
        <v>2013</v>
      </c>
      <c r="D4" s="504">
        <v>3</v>
      </c>
      <c r="E4" s="504">
        <v>2</v>
      </c>
      <c r="F4" s="505">
        <v>180538</v>
      </c>
      <c r="G4" s="504">
        <v>0</v>
      </c>
      <c r="H4" s="505">
        <v>317187</v>
      </c>
      <c r="I4" s="504">
        <v>0</v>
      </c>
      <c r="J4" s="504">
        <v>0</v>
      </c>
      <c r="K4" s="504">
        <v>0</v>
      </c>
      <c r="L4" s="506">
        <v>311.31119999999999</v>
      </c>
      <c r="M4" s="505">
        <v>21.8</v>
      </c>
      <c r="N4" s="507">
        <v>0</v>
      </c>
      <c r="O4" s="508">
        <v>9440</v>
      </c>
      <c r="P4" s="493">
        <f t="shared" ref="P4:P33" si="0">F5-F4</f>
        <v>9440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9440</v>
      </c>
      <c r="W4" s="512">
        <f>V4*35.31467</f>
        <v>333370.48479999998</v>
      </c>
      <c r="X4" s="497"/>
      <c r="Y4" s="513">
        <f>V4*R4/1000000</f>
        <v>81.34602743516345</v>
      </c>
      <c r="Z4" s="510">
        <f>S4*V4/1000000</f>
        <v>340.57954766554229</v>
      </c>
      <c r="AA4" s="511">
        <f>W4*T4/1000000</f>
        <v>322.80621084701221</v>
      </c>
      <c r="AE4" s="598" t="str">
        <f t="shared" ref="AE4:AE34" si="3">RIGHT(F4,6)</f>
        <v>180538</v>
      </c>
      <c r="AF4" s="502">
        <v>275</v>
      </c>
      <c r="AG4" s="606">
        <v>2</v>
      </c>
      <c r="AH4" s="607">
        <v>180542</v>
      </c>
      <c r="AI4" s="608">
        <f t="shared" ref="AI4:AI34" si="4">IFERROR(AE4*1,0)</f>
        <v>180538</v>
      </c>
      <c r="AJ4" s="609">
        <f t="shared" ref="AJ4:AJ34" si="5">(AI4-AH4)</f>
        <v>-4</v>
      </c>
      <c r="AL4" s="602">
        <f t="shared" ref="AL4:AM33" si="6">AH5-AH4</f>
        <v>9438</v>
      </c>
      <c r="AM4" s="610">
        <f t="shared" si="6"/>
        <v>9440</v>
      </c>
      <c r="AN4" s="611">
        <f t="shared" ref="AN4:AN33" si="7">(AM4-AL4)</f>
        <v>2</v>
      </c>
      <c r="AO4" s="612">
        <f t="shared" ref="AO4:AO33" si="8">IFERROR(AN4/AM4,"")</f>
        <v>2.1186440677966101E-4</v>
      </c>
    </row>
    <row r="5" spans="1:41" x14ac:dyDescent="0.2">
      <c r="A5" s="502">
        <v>275</v>
      </c>
      <c r="B5" s="503">
        <v>0.375</v>
      </c>
      <c r="C5" s="504">
        <v>2013</v>
      </c>
      <c r="D5" s="504">
        <v>3</v>
      </c>
      <c r="E5" s="504">
        <v>3</v>
      </c>
      <c r="F5" s="505">
        <v>189978</v>
      </c>
      <c r="G5" s="504">
        <v>0</v>
      </c>
      <c r="H5" s="505">
        <v>317594</v>
      </c>
      <c r="I5" s="504">
        <v>0</v>
      </c>
      <c r="J5" s="504">
        <v>0</v>
      </c>
      <c r="K5" s="504">
        <v>0</v>
      </c>
      <c r="L5" s="506">
        <v>316.69529999999997</v>
      </c>
      <c r="M5" s="505">
        <v>20.399999999999999</v>
      </c>
      <c r="N5" s="507">
        <v>0</v>
      </c>
      <c r="O5" s="508">
        <v>9745</v>
      </c>
      <c r="P5" s="493">
        <f t="shared" si="0"/>
        <v>9745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9745</v>
      </c>
      <c r="W5" s="512">
        <f t="shared" ref="W5:W33" si="10">V5*35.31467</f>
        <v>344141.45915000001</v>
      </c>
      <c r="X5" s="497"/>
      <c r="Y5" s="513">
        <f t="shared" ref="Y5:Y33" si="11">V5*R5/1000000</f>
        <v>84.198528553312585</v>
      </c>
      <c r="Z5" s="510">
        <f t="shared" ref="Z5:Z33" si="12">S5*V5/1000000</f>
        <v>352.52239934700913</v>
      </c>
      <c r="AA5" s="511">
        <f t="shared" ref="AA5:AA33" si="13">W5*T5/1000000</f>
        <v>334.12581804135885</v>
      </c>
      <c r="AE5" s="598" t="str">
        <f t="shared" si="3"/>
        <v>189978</v>
      </c>
      <c r="AF5" s="502">
        <v>275</v>
      </c>
      <c r="AG5" s="606">
        <v>3</v>
      </c>
      <c r="AH5" s="607">
        <v>189980</v>
      </c>
      <c r="AI5" s="608">
        <f t="shared" si="4"/>
        <v>189978</v>
      </c>
      <c r="AJ5" s="609">
        <f t="shared" si="5"/>
        <v>-2</v>
      </c>
      <c r="AL5" s="602">
        <f t="shared" si="6"/>
        <v>9750</v>
      </c>
      <c r="AM5" s="610">
        <f t="shared" si="6"/>
        <v>9745</v>
      </c>
      <c r="AN5" s="611">
        <f t="shared" si="7"/>
        <v>-5</v>
      </c>
      <c r="AO5" s="612">
        <f t="shared" si="8"/>
        <v>-5.1308363263211901E-4</v>
      </c>
    </row>
    <row r="6" spans="1:41" x14ac:dyDescent="0.2">
      <c r="A6" s="502">
        <v>275</v>
      </c>
      <c r="B6" s="503">
        <v>0.375</v>
      </c>
      <c r="C6" s="504">
        <v>2013</v>
      </c>
      <c r="D6" s="504">
        <v>3</v>
      </c>
      <c r="E6" s="504">
        <v>4</v>
      </c>
      <c r="F6" s="505">
        <v>199723</v>
      </c>
      <c r="G6" s="504">
        <v>0</v>
      </c>
      <c r="H6" s="505">
        <v>318016</v>
      </c>
      <c r="I6" s="504">
        <v>0</v>
      </c>
      <c r="J6" s="504">
        <v>0</v>
      </c>
      <c r="K6" s="504">
        <v>0</v>
      </c>
      <c r="L6" s="506">
        <v>316.99160000000001</v>
      </c>
      <c r="M6" s="505">
        <v>21.7</v>
      </c>
      <c r="N6" s="507">
        <v>0</v>
      </c>
      <c r="O6" s="508">
        <v>10137</v>
      </c>
      <c r="P6" s="493">
        <f t="shared" si="0"/>
        <v>10137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10137</v>
      </c>
      <c r="W6" s="512">
        <f t="shared" si="10"/>
        <v>357984.80978999997</v>
      </c>
      <c r="X6" s="497"/>
      <c r="Y6" s="513">
        <f t="shared" si="11"/>
        <v>87.898290531742262</v>
      </c>
      <c r="Z6" s="510">
        <f t="shared" si="12"/>
        <v>368.0125627982984</v>
      </c>
      <c r="AA6" s="511">
        <f t="shared" si="13"/>
        <v>348.80761852933773</v>
      </c>
      <c r="AE6" s="598" t="str">
        <f t="shared" si="3"/>
        <v>199723</v>
      </c>
      <c r="AF6" s="502">
        <v>275</v>
      </c>
      <c r="AG6" s="606">
        <v>4</v>
      </c>
      <c r="AH6" s="607">
        <v>199730</v>
      </c>
      <c r="AI6" s="608">
        <f t="shared" si="4"/>
        <v>199723</v>
      </c>
      <c r="AJ6" s="609">
        <f t="shared" si="5"/>
        <v>-7</v>
      </c>
      <c r="AL6" s="602">
        <f t="shared" si="6"/>
        <v>10136</v>
      </c>
      <c r="AM6" s="610">
        <f t="shared" si="6"/>
        <v>10137</v>
      </c>
      <c r="AN6" s="611">
        <f t="shared" si="7"/>
        <v>1</v>
      </c>
      <c r="AO6" s="612">
        <f t="shared" si="8"/>
        <v>9.864851533984413E-5</v>
      </c>
    </row>
    <row r="7" spans="1:41" x14ac:dyDescent="0.2">
      <c r="A7" s="502">
        <v>275</v>
      </c>
      <c r="B7" s="503">
        <v>0.375</v>
      </c>
      <c r="C7" s="504">
        <v>2013</v>
      </c>
      <c r="D7" s="504">
        <v>3</v>
      </c>
      <c r="E7" s="504">
        <v>5</v>
      </c>
      <c r="F7" s="505">
        <v>209860</v>
      </c>
      <c r="G7" s="504">
        <v>0</v>
      </c>
      <c r="H7" s="505">
        <v>318468</v>
      </c>
      <c r="I7" s="504">
        <v>0</v>
      </c>
      <c r="J7" s="504">
        <v>0</v>
      </c>
      <c r="K7" s="504">
        <v>0</v>
      </c>
      <c r="L7" s="506">
        <v>308.62560000000002</v>
      </c>
      <c r="M7" s="505">
        <v>22.3</v>
      </c>
      <c r="N7" s="507">
        <v>0</v>
      </c>
      <c r="O7" s="508">
        <v>10618</v>
      </c>
      <c r="P7" s="493">
        <f t="shared" si="0"/>
        <v>10618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10618</v>
      </c>
      <c r="W7" s="512">
        <f t="shared" si="10"/>
        <v>374971.16606000002</v>
      </c>
      <c r="X7" s="497"/>
      <c r="Y7" s="513">
        <f t="shared" si="11"/>
        <v>91.992255623494728</v>
      </c>
      <c r="Z7" s="510">
        <f t="shared" si="12"/>
        <v>385.15317584444767</v>
      </c>
      <c r="AA7" s="511">
        <f t="shared" si="13"/>
        <v>365.05373896419115</v>
      </c>
      <c r="AE7" s="598" t="str">
        <f t="shared" si="3"/>
        <v>209860</v>
      </c>
      <c r="AF7" s="502">
        <v>275</v>
      </c>
      <c r="AG7" s="606">
        <v>5</v>
      </c>
      <c r="AH7" s="607">
        <v>209866</v>
      </c>
      <c r="AI7" s="608">
        <f t="shared" si="4"/>
        <v>209860</v>
      </c>
      <c r="AJ7" s="609">
        <f t="shared" si="5"/>
        <v>-6</v>
      </c>
      <c r="AL7" s="602">
        <f t="shared" si="6"/>
        <v>10618</v>
      </c>
      <c r="AM7" s="610">
        <f t="shared" si="6"/>
        <v>10618</v>
      </c>
      <c r="AN7" s="611">
        <f t="shared" si="7"/>
        <v>0</v>
      </c>
      <c r="AO7" s="612">
        <f t="shared" si="8"/>
        <v>0</v>
      </c>
    </row>
    <row r="8" spans="1:41" x14ac:dyDescent="0.2">
      <c r="A8" s="502">
        <v>275</v>
      </c>
      <c r="B8" s="503">
        <v>0.375</v>
      </c>
      <c r="C8" s="504">
        <v>2013</v>
      </c>
      <c r="D8" s="504">
        <v>3</v>
      </c>
      <c r="E8" s="504">
        <v>6</v>
      </c>
      <c r="F8" s="505">
        <v>220478</v>
      </c>
      <c r="G8" s="504">
        <v>0</v>
      </c>
      <c r="H8" s="505">
        <v>318926</v>
      </c>
      <c r="I8" s="504">
        <v>0</v>
      </c>
      <c r="J8" s="504">
        <v>0</v>
      </c>
      <c r="K8" s="504">
        <v>0</v>
      </c>
      <c r="L8" s="506">
        <v>318.87169999999998</v>
      </c>
      <c r="M8" s="505">
        <v>22.2</v>
      </c>
      <c r="N8" s="507">
        <v>0</v>
      </c>
      <c r="O8" s="508">
        <v>8998</v>
      </c>
      <c r="P8" s="493">
        <f t="shared" si="0"/>
        <v>8998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8998</v>
      </c>
      <c r="W8" s="512">
        <f t="shared" si="10"/>
        <v>317761.40065999998</v>
      </c>
      <c r="X8" s="497"/>
      <c r="Y8" s="513">
        <f t="shared" si="11"/>
        <v>78.077900220514834</v>
      </c>
      <c r="Z8" s="510">
        <f t="shared" si="12"/>
        <v>326.89655264325148</v>
      </c>
      <c r="AA8" s="511">
        <f t="shared" si="13"/>
        <v>309.83727067882052</v>
      </c>
      <c r="AE8" s="598" t="str">
        <f t="shared" si="3"/>
        <v>220478</v>
      </c>
      <c r="AF8" s="502">
        <v>275</v>
      </c>
      <c r="AG8" s="606">
        <v>6</v>
      </c>
      <c r="AH8" s="607">
        <v>220484</v>
      </c>
      <c r="AI8" s="608">
        <f t="shared" si="4"/>
        <v>220478</v>
      </c>
      <c r="AJ8" s="609">
        <f t="shared" si="5"/>
        <v>-6</v>
      </c>
      <c r="AL8" s="602">
        <f t="shared" si="6"/>
        <v>8999</v>
      </c>
      <c r="AM8" s="610">
        <f t="shared" si="6"/>
        <v>8998</v>
      </c>
      <c r="AN8" s="611">
        <f t="shared" si="7"/>
        <v>-1</v>
      </c>
      <c r="AO8" s="612">
        <f t="shared" si="8"/>
        <v>-1.1113580795732385E-4</v>
      </c>
    </row>
    <row r="9" spans="1:41" x14ac:dyDescent="0.2">
      <c r="A9" s="502">
        <v>275</v>
      </c>
      <c r="B9" s="503">
        <v>0.375</v>
      </c>
      <c r="C9" s="504">
        <v>2013</v>
      </c>
      <c r="D9" s="504">
        <v>3</v>
      </c>
      <c r="E9" s="504">
        <v>7</v>
      </c>
      <c r="F9" s="505">
        <v>229476</v>
      </c>
      <c r="G9" s="504">
        <v>0</v>
      </c>
      <c r="H9" s="505">
        <v>319310</v>
      </c>
      <c r="I9" s="504">
        <v>0</v>
      </c>
      <c r="J9" s="504">
        <v>0</v>
      </c>
      <c r="K9" s="504">
        <v>0</v>
      </c>
      <c r="L9" s="506">
        <v>322.09690000000001</v>
      </c>
      <c r="M9" s="505">
        <v>22.2</v>
      </c>
      <c r="N9" s="507">
        <v>0</v>
      </c>
      <c r="O9" s="508">
        <v>8925</v>
      </c>
      <c r="P9" s="493">
        <f t="shared" si="0"/>
        <v>8925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8925</v>
      </c>
      <c r="W9" s="512">
        <f t="shared" si="10"/>
        <v>315183.42975000001</v>
      </c>
      <c r="X9" s="497"/>
      <c r="Y9" s="513">
        <f t="shared" si="11"/>
        <v>77.506693392120624</v>
      </c>
      <c r="Z9" s="510">
        <f t="shared" si="12"/>
        <v>324.50502389413066</v>
      </c>
      <c r="AA9" s="511">
        <f t="shared" si="13"/>
        <v>307.57054521357469</v>
      </c>
      <c r="AE9" s="598" t="str">
        <f t="shared" si="3"/>
        <v>229476</v>
      </c>
      <c r="AF9" s="502">
        <v>275</v>
      </c>
      <c r="AG9" s="606">
        <v>7</v>
      </c>
      <c r="AH9" s="607">
        <v>229483</v>
      </c>
      <c r="AI9" s="608">
        <f t="shared" si="4"/>
        <v>229476</v>
      </c>
      <c r="AJ9" s="609">
        <f t="shared" si="5"/>
        <v>-7</v>
      </c>
      <c r="AL9" s="602">
        <f t="shared" si="6"/>
        <v>8927</v>
      </c>
      <c r="AM9" s="610">
        <f t="shared" si="6"/>
        <v>8925</v>
      </c>
      <c r="AN9" s="611">
        <f t="shared" si="7"/>
        <v>-2</v>
      </c>
      <c r="AO9" s="612">
        <f t="shared" si="8"/>
        <v>-2.2408963585434174E-4</v>
      </c>
    </row>
    <row r="10" spans="1:41" x14ac:dyDescent="0.2">
      <c r="A10" s="502">
        <v>275</v>
      </c>
      <c r="B10" s="503">
        <v>0.375</v>
      </c>
      <c r="C10" s="504">
        <v>2013</v>
      </c>
      <c r="D10" s="504">
        <v>3</v>
      </c>
      <c r="E10" s="504">
        <v>8</v>
      </c>
      <c r="F10" s="505">
        <v>238401</v>
      </c>
      <c r="G10" s="504">
        <v>0</v>
      </c>
      <c r="H10" s="505">
        <v>319693</v>
      </c>
      <c r="I10" s="504">
        <v>0</v>
      </c>
      <c r="J10" s="504">
        <v>0</v>
      </c>
      <c r="K10" s="504">
        <v>0</v>
      </c>
      <c r="L10" s="506">
        <v>321.16730000000001</v>
      </c>
      <c r="M10" s="505">
        <v>22.6</v>
      </c>
      <c r="N10" s="507">
        <v>0</v>
      </c>
      <c r="O10" s="508">
        <v>9128</v>
      </c>
      <c r="P10" s="493">
        <f t="shared" si="0"/>
        <v>9128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9128</v>
      </c>
      <c r="W10" s="512">
        <f t="shared" si="10"/>
        <v>322352.30776</v>
      </c>
      <c r="X10" s="497"/>
      <c r="Y10" s="513">
        <f t="shared" si="11"/>
        <v>79.234760925109882</v>
      </c>
      <c r="Z10" s="510">
        <f t="shared" si="12"/>
        <v>331.74009704125007</v>
      </c>
      <c r="AA10" s="511">
        <f t="shared" si="13"/>
        <v>314.42805196590649</v>
      </c>
      <c r="AE10" s="598" t="str">
        <f t="shared" si="3"/>
        <v>238401</v>
      </c>
      <c r="AF10" s="502">
        <v>275</v>
      </c>
      <c r="AG10" s="606">
        <v>8</v>
      </c>
      <c r="AH10" s="607">
        <v>238410</v>
      </c>
      <c r="AI10" s="608">
        <f t="shared" si="4"/>
        <v>238401</v>
      </c>
      <c r="AJ10" s="609">
        <f t="shared" si="5"/>
        <v>-9</v>
      </c>
      <c r="AL10" s="602">
        <f t="shared" si="6"/>
        <v>9126</v>
      </c>
      <c r="AM10" s="610">
        <f t="shared" si="6"/>
        <v>9128</v>
      </c>
      <c r="AN10" s="611">
        <f t="shared" si="7"/>
        <v>2</v>
      </c>
      <c r="AO10" s="612">
        <f t="shared" si="8"/>
        <v>2.1910604732690623E-4</v>
      </c>
    </row>
    <row r="11" spans="1:41" x14ac:dyDescent="0.2">
      <c r="A11" s="502">
        <v>275</v>
      </c>
      <c r="B11" s="503">
        <v>0.375</v>
      </c>
      <c r="C11" s="504">
        <v>2013</v>
      </c>
      <c r="D11" s="504">
        <v>3</v>
      </c>
      <c r="E11" s="504">
        <v>9</v>
      </c>
      <c r="F11" s="505">
        <v>247529</v>
      </c>
      <c r="G11" s="504">
        <v>0</v>
      </c>
      <c r="H11" s="505">
        <v>320084</v>
      </c>
      <c r="I11" s="504">
        <v>0</v>
      </c>
      <c r="J11" s="504">
        <v>0</v>
      </c>
      <c r="K11" s="504">
        <v>0</v>
      </c>
      <c r="L11" s="506">
        <v>320.96129999999999</v>
      </c>
      <c r="M11" s="505">
        <v>22.7</v>
      </c>
      <c r="N11" s="507">
        <v>0</v>
      </c>
      <c r="O11" s="508">
        <v>8870</v>
      </c>
      <c r="P11" s="493">
        <f t="shared" si="0"/>
        <v>8870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8870</v>
      </c>
      <c r="W11" s="515">
        <f t="shared" si="10"/>
        <v>313241.12290000002</v>
      </c>
      <c r="Y11" s="513">
        <f t="shared" si="11"/>
        <v>77.050122380087942</v>
      </c>
      <c r="Z11" s="510">
        <f t="shared" si="12"/>
        <v>322.59345238095216</v>
      </c>
      <c r="AA11" s="511">
        <f t="shared" si="13"/>
        <v>305.75873014375668</v>
      </c>
      <c r="AE11" s="598" t="str">
        <f t="shared" si="3"/>
        <v>247529</v>
      </c>
      <c r="AF11" s="502">
        <v>275</v>
      </c>
      <c r="AG11" s="606">
        <v>9</v>
      </c>
      <c r="AH11" s="607">
        <v>247536</v>
      </c>
      <c r="AI11" s="608">
        <f t="shared" si="4"/>
        <v>247529</v>
      </c>
      <c r="AJ11" s="609">
        <f t="shared" si="5"/>
        <v>-7</v>
      </c>
      <c r="AL11" s="602">
        <f t="shared" si="6"/>
        <v>8872</v>
      </c>
      <c r="AM11" s="610">
        <f t="shared" si="6"/>
        <v>8870</v>
      </c>
      <c r="AN11" s="611">
        <f t="shared" si="7"/>
        <v>-2</v>
      </c>
      <c r="AO11" s="612">
        <f t="shared" si="8"/>
        <v>-2.2547914317925591E-4</v>
      </c>
    </row>
    <row r="12" spans="1:41" x14ac:dyDescent="0.2">
      <c r="A12" s="502">
        <v>275</v>
      </c>
      <c r="B12" s="503">
        <v>0.375</v>
      </c>
      <c r="C12" s="504">
        <v>2013</v>
      </c>
      <c r="D12" s="504">
        <v>3</v>
      </c>
      <c r="E12" s="504">
        <v>10</v>
      </c>
      <c r="F12" s="505">
        <v>256399</v>
      </c>
      <c r="G12" s="504">
        <v>0</v>
      </c>
      <c r="H12" s="505">
        <v>320459</v>
      </c>
      <c r="I12" s="504">
        <v>0</v>
      </c>
      <c r="J12" s="504">
        <v>0</v>
      </c>
      <c r="K12" s="504">
        <v>0</v>
      </c>
      <c r="L12" s="506">
        <v>326.65629999999999</v>
      </c>
      <c r="M12" s="505">
        <v>23</v>
      </c>
      <c r="N12" s="507">
        <v>0</v>
      </c>
      <c r="O12" s="508">
        <v>9949</v>
      </c>
      <c r="P12" s="493">
        <f t="shared" si="0"/>
        <v>9949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9949</v>
      </c>
      <c r="W12" s="515">
        <f t="shared" si="10"/>
        <v>351345.65182999999</v>
      </c>
      <c r="Y12" s="513">
        <f t="shared" si="11"/>
        <v>86.54530275532025</v>
      </c>
      <c r="Z12" s="510">
        <f t="shared" si="12"/>
        <v>362.3478735759748</v>
      </c>
      <c r="AA12" s="511">
        <f t="shared" si="13"/>
        <v>343.4385443262093</v>
      </c>
      <c r="AE12" s="598" t="str">
        <f t="shared" si="3"/>
        <v>256399</v>
      </c>
      <c r="AF12" s="502">
        <v>275</v>
      </c>
      <c r="AG12" s="606">
        <v>10</v>
      </c>
      <c r="AH12" s="607">
        <v>256408</v>
      </c>
      <c r="AI12" s="608">
        <f t="shared" si="4"/>
        <v>256399</v>
      </c>
      <c r="AJ12" s="609">
        <f t="shared" si="5"/>
        <v>-9</v>
      </c>
      <c r="AL12" s="602">
        <f t="shared" si="6"/>
        <v>9946</v>
      </c>
      <c r="AM12" s="610">
        <f t="shared" si="6"/>
        <v>9949</v>
      </c>
      <c r="AN12" s="611">
        <f t="shared" si="7"/>
        <v>3</v>
      </c>
      <c r="AO12" s="612">
        <f t="shared" si="8"/>
        <v>3.015378429992964E-4</v>
      </c>
    </row>
    <row r="13" spans="1:41" x14ac:dyDescent="0.2">
      <c r="A13" s="502">
        <v>275</v>
      </c>
      <c r="B13" s="503">
        <v>0.375</v>
      </c>
      <c r="C13" s="504">
        <v>2013</v>
      </c>
      <c r="D13" s="504">
        <v>3</v>
      </c>
      <c r="E13" s="504">
        <v>11</v>
      </c>
      <c r="F13" s="505">
        <v>266348</v>
      </c>
      <c r="G13" s="504">
        <v>0</v>
      </c>
      <c r="H13" s="505">
        <v>320880</v>
      </c>
      <c r="I13" s="504">
        <v>0</v>
      </c>
      <c r="J13" s="504">
        <v>0</v>
      </c>
      <c r="K13" s="504">
        <v>0</v>
      </c>
      <c r="L13" s="506">
        <v>325.86329999999998</v>
      </c>
      <c r="M13" s="505">
        <v>23.2</v>
      </c>
      <c r="N13" s="507">
        <v>0</v>
      </c>
      <c r="O13" s="508">
        <v>11051</v>
      </c>
      <c r="P13" s="493">
        <f t="shared" si="0"/>
        <v>11051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11051</v>
      </c>
      <c r="W13" s="515">
        <f t="shared" si="10"/>
        <v>390262.41817000002</v>
      </c>
      <c r="Y13" s="513">
        <f t="shared" si="11"/>
        <v>95.964998741590335</v>
      </c>
      <c r="Z13" s="510">
        <f t="shared" si="12"/>
        <v>401.78625673129039</v>
      </c>
      <c r="AA13" s="511">
        <f t="shared" si="13"/>
        <v>380.81881309326451</v>
      </c>
      <c r="AE13" s="598" t="str">
        <f t="shared" si="3"/>
        <v>266348</v>
      </c>
      <c r="AF13" s="502">
        <v>275</v>
      </c>
      <c r="AG13" s="606">
        <v>11</v>
      </c>
      <c r="AH13" s="607">
        <v>266354</v>
      </c>
      <c r="AI13" s="608">
        <f t="shared" si="4"/>
        <v>266348</v>
      </c>
      <c r="AJ13" s="609">
        <f t="shared" si="5"/>
        <v>-6</v>
      </c>
      <c r="AL13" s="602">
        <f t="shared" si="6"/>
        <v>11056</v>
      </c>
      <c r="AM13" s="610">
        <f t="shared" si="6"/>
        <v>11051</v>
      </c>
      <c r="AN13" s="611">
        <f t="shared" si="7"/>
        <v>-5</v>
      </c>
      <c r="AO13" s="612">
        <f t="shared" si="8"/>
        <v>-4.5244774228576598E-4</v>
      </c>
    </row>
    <row r="14" spans="1:41" x14ac:dyDescent="0.2">
      <c r="A14" s="502">
        <v>275</v>
      </c>
      <c r="B14" s="503">
        <v>0.375</v>
      </c>
      <c r="C14" s="504">
        <v>2013</v>
      </c>
      <c r="D14" s="504">
        <v>3</v>
      </c>
      <c r="E14" s="504">
        <v>12</v>
      </c>
      <c r="F14" s="505">
        <v>277399</v>
      </c>
      <c r="G14" s="504">
        <v>0</v>
      </c>
      <c r="H14" s="505">
        <v>321355</v>
      </c>
      <c r="I14" s="504">
        <v>0</v>
      </c>
      <c r="J14" s="504">
        <v>0</v>
      </c>
      <c r="K14" s="504">
        <v>0</v>
      </c>
      <c r="L14" s="506">
        <v>320.70490000000001</v>
      </c>
      <c r="M14" s="505">
        <v>22.9</v>
      </c>
      <c r="N14" s="507">
        <v>0</v>
      </c>
      <c r="O14" s="508">
        <v>9858</v>
      </c>
      <c r="P14" s="493">
        <f t="shared" si="0"/>
        <v>9858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9858</v>
      </c>
      <c r="W14" s="515">
        <f t="shared" si="10"/>
        <v>348132.01685999997</v>
      </c>
      <c r="Y14" s="513">
        <f t="shared" si="11"/>
        <v>85.641984786140014</v>
      </c>
      <c r="Z14" s="510">
        <f t="shared" si="12"/>
        <v>358.56586190261095</v>
      </c>
      <c r="AA14" s="511">
        <f t="shared" si="13"/>
        <v>339.85389907658714</v>
      </c>
      <c r="AE14" s="598" t="str">
        <f t="shared" si="3"/>
        <v>277399</v>
      </c>
      <c r="AF14" s="502">
        <v>275</v>
      </c>
      <c r="AG14" s="606">
        <v>12</v>
      </c>
      <c r="AH14" s="607">
        <v>277410</v>
      </c>
      <c r="AI14" s="608">
        <f t="shared" si="4"/>
        <v>277399</v>
      </c>
      <c r="AJ14" s="609">
        <f t="shared" si="5"/>
        <v>-11</v>
      </c>
      <c r="AL14" s="602">
        <f t="shared" si="6"/>
        <v>9858</v>
      </c>
      <c r="AM14" s="610">
        <f t="shared" si="6"/>
        <v>9858</v>
      </c>
      <c r="AN14" s="611">
        <f t="shared" si="7"/>
        <v>0</v>
      </c>
      <c r="AO14" s="612">
        <f t="shared" si="8"/>
        <v>0</v>
      </c>
    </row>
    <row r="15" spans="1:41" x14ac:dyDescent="0.2">
      <c r="A15" s="502">
        <v>275</v>
      </c>
      <c r="B15" s="503">
        <v>0.375</v>
      </c>
      <c r="C15" s="504">
        <v>2013</v>
      </c>
      <c r="D15" s="504">
        <v>3</v>
      </c>
      <c r="E15" s="504">
        <v>13</v>
      </c>
      <c r="F15" s="505">
        <v>287257</v>
      </c>
      <c r="G15" s="504">
        <v>0</v>
      </c>
      <c r="H15" s="505">
        <v>321781</v>
      </c>
      <c r="I15" s="504">
        <v>0</v>
      </c>
      <c r="J15" s="504">
        <v>0</v>
      </c>
      <c r="K15" s="504">
        <v>0</v>
      </c>
      <c r="L15" s="506">
        <v>318.40789999999998</v>
      </c>
      <c r="M15" s="505">
        <v>22.8</v>
      </c>
      <c r="N15" s="507">
        <v>0</v>
      </c>
      <c r="O15" s="508">
        <v>10199</v>
      </c>
      <c r="P15" s="493">
        <f t="shared" si="0"/>
        <v>10199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10199</v>
      </c>
      <c r="W15" s="515">
        <f t="shared" si="10"/>
        <v>360174.31932999997</v>
      </c>
      <c r="Y15" s="513">
        <f t="shared" si="11"/>
        <v>88.394099444975126</v>
      </c>
      <c r="Z15" s="510">
        <f t="shared" si="12"/>
        <v>370.08841555622183</v>
      </c>
      <c r="AA15" s="511">
        <f t="shared" si="13"/>
        <v>350.77514173398885</v>
      </c>
      <c r="AE15" s="598" t="str">
        <f t="shared" si="3"/>
        <v>287257</v>
      </c>
      <c r="AF15" s="502">
        <v>275</v>
      </c>
      <c r="AG15" s="606">
        <v>13</v>
      </c>
      <c r="AH15" s="607">
        <v>287268</v>
      </c>
      <c r="AI15" s="608">
        <f t="shared" si="4"/>
        <v>287257</v>
      </c>
      <c r="AJ15" s="609">
        <f t="shared" si="5"/>
        <v>-11</v>
      </c>
      <c r="AL15" s="602">
        <f t="shared" si="6"/>
        <v>10197</v>
      </c>
      <c r="AM15" s="610">
        <f t="shared" si="6"/>
        <v>10199</v>
      </c>
      <c r="AN15" s="611">
        <f t="shared" si="7"/>
        <v>2</v>
      </c>
      <c r="AO15" s="612">
        <f t="shared" si="8"/>
        <v>1.9609765663300324E-4</v>
      </c>
    </row>
    <row r="16" spans="1:41" x14ac:dyDescent="0.2">
      <c r="A16" s="502">
        <v>275</v>
      </c>
      <c r="B16" s="503">
        <v>0.375</v>
      </c>
      <c r="C16" s="504">
        <v>2013</v>
      </c>
      <c r="D16" s="504">
        <v>3</v>
      </c>
      <c r="E16" s="504">
        <v>14</v>
      </c>
      <c r="F16" s="505">
        <v>297456</v>
      </c>
      <c r="G16" s="504">
        <v>0</v>
      </c>
      <c r="H16" s="505">
        <v>322223</v>
      </c>
      <c r="I16" s="504">
        <v>0</v>
      </c>
      <c r="J16" s="504">
        <v>0</v>
      </c>
      <c r="K16" s="504">
        <v>0</v>
      </c>
      <c r="L16" s="506">
        <v>317.32040000000001</v>
      </c>
      <c r="M16" s="505">
        <v>22</v>
      </c>
      <c r="N16" s="507">
        <v>0</v>
      </c>
      <c r="O16" s="508">
        <v>9019</v>
      </c>
      <c r="P16" s="493">
        <f t="shared" si="0"/>
        <v>9019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9019</v>
      </c>
      <c r="W16" s="515">
        <f t="shared" si="10"/>
        <v>318503.00873</v>
      </c>
      <c r="Y16" s="513">
        <f t="shared" si="11"/>
        <v>77.964697923413368</v>
      </c>
      <c r="Z16" s="510">
        <f t="shared" si="12"/>
        <v>326.42259726574707</v>
      </c>
      <c r="AA16" s="511">
        <f t="shared" si="13"/>
        <v>309.3880489314447</v>
      </c>
      <c r="AE16" s="598" t="str">
        <f t="shared" si="3"/>
        <v>297456</v>
      </c>
      <c r="AF16" s="502">
        <v>275</v>
      </c>
      <c r="AG16" s="606">
        <v>14</v>
      </c>
      <c r="AH16" s="607">
        <v>297465</v>
      </c>
      <c r="AI16" s="608">
        <f t="shared" si="4"/>
        <v>297456</v>
      </c>
      <c r="AJ16" s="609">
        <f t="shared" si="5"/>
        <v>-9</v>
      </c>
      <c r="AL16" s="602">
        <f t="shared" si="6"/>
        <v>9021</v>
      </c>
      <c r="AM16" s="610">
        <f t="shared" si="6"/>
        <v>9019</v>
      </c>
      <c r="AN16" s="611">
        <f t="shared" si="7"/>
        <v>-2</v>
      </c>
      <c r="AO16" s="612">
        <f t="shared" si="8"/>
        <v>-2.2175407473112318E-4</v>
      </c>
    </row>
    <row r="17" spans="1:41" x14ac:dyDescent="0.2">
      <c r="A17" s="502">
        <v>275</v>
      </c>
      <c r="B17" s="503">
        <v>0.375</v>
      </c>
      <c r="C17" s="504">
        <v>2013</v>
      </c>
      <c r="D17" s="504">
        <v>3</v>
      </c>
      <c r="E17" s="504">
        <v>15</v>
      </c>
      <c r="F17" s="505">
        <v>306475</v>
      </c>
      <c r="G17" s="504">
        <v>0</v>
      </c>
      <c r="H17" s="505">
        <v>322612</v>
      </c>
      <c r="I17" s="504">
        <v>0</v>
      </c>
      <c r="J17" s="504">
        <v>0</v>
      </c>
      <c r="K17" s="504">
        <v>0</v>
      </c>
      <c r="L17" s="506">
        <v>318.38319999999999</v>
      </c>
      <c r="M17" s="505">
        <v>21.7</v>
      </c>
      <c r="N17" s="507">
        <v>0</v>
      </c>
      <c r="O17" s="508">
        <v>10871</v>
      </c>
      <c r="P17" s="493">
        <f t="shared" si="0"/>
        <v>10871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10871</v>
      </c>
      <c r="W17" s="515">
        <f t="shared" si="10"/>
        <v>383905.77756999998</v>
      </c>
      <c r="Y17" s="513">
        <f t="shared" si="11"/>
        <v>95.152595527927375</v>
      </c>
      <c r="Z17" s="510">
        <f t="shared" si="12"/>
        <v>398.38488695632628</v>
      </c>
      <c r="AA17" s="511">
        <f t="shared" si="13"/>
        <v>377.59494572873331</v>
      </c>
      <c r="AE17" s="598" t="str">
        <f t="shared" si="3"/>
        <v>306475</v>
      </c>
      <c r="AF17" s="502">
        <v>275</v>
      </c>
      <c r="AG17" s="606">
        <v>15</v>
      </c>
      <c r="AH17" s="607">
        <v>306486</v>
      </c>
      <c r="AI17" s="608">
        <f t="shared" si="4"/>
        <v>306475</v>
      </c>
      <c r="AJ17" s="609">
        <f t="shared" si="5"/>
        <v>-11</v>
      </c>
      <c r="AL17" s="602">
        <f t="shared" si="6"/>
        <v>10876</v>
      </c>
      <c r="AM17" s="610">
        <f t="shared" si="6"/>
        <v>10871</v>
      </c>
      <c r="AN17" s="611">
        <f t="shared" si="7"/>
        <v>-5</v>
      </c>
      <c r="AO17" s="612">
        <f t="shared" si="8"/>
        <v>-4.5993928801398216E-4</v>
      </c>
    </row>
    <row r="18" spans="1:41" x14ac:dyDescent="0.2">
      <c r="A18" s="502">
        <v>275</v>
      </c>
      <c r="B18" s="503">
        <v>0.375</v>
      </c>
      <c r="C18" s="504">
        <v>2013</v>
      </c>
      <c r="D18" s="504">
        <v>3</v>
      </c>
      <c r="E18" s="504">
        <v>16</v>
      </c>
      <c r="F18" s="505">
        <v>317346</v>
      </c>
      <c r="G18" s="504">
        <v>0</v>
      </c>
      <c r="H18" s="505">
        <v>323082</v>
      </c>
      <c r="I18" s="504">
        <v>0</v>
      </c>
      <c r="J18" s="504">
        <v>0</v>
      </c>
      <c r="K18" s="504">
        <v>0</v>
      </c>
      <c r="L18" s="506">
        <v>317.68650000000002</v>
      </c>
      <c r="M18" s="505">
        <v>22</v>
      </c>
      <c r="N18" s="507">
        <v>0</v>
      </c>
      <c r="O18" s="508">
        <v>10094</v>
      </c>
      <c r="P18" s="493">
        <f t="shared" si="0"/>
        <v>10094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10094</v>
      </c>
      <c r="W18" s="515">
        <f t="shared" si="10"/>
        <v>356466.27898</v>
      </c>
      <c r="Y18" s="513">
        <f t="shared" si="11"/>
        <v>88.35160511994286</v>
      </c>
      <c r="Z18" s="510">
        <f t="shared" si="12"/>
        <v>369.91050031617675</v>
      </c>
      <c r="AA18" s="511">
        <f t="shared" si="13"/>
        <v>350.60651110163133</v>
      </c>
      <c r="AE18" s="598" t="str">
        <f t="shared" si="3"/>
        <v>317346</v>
      </c>
      <c r="AF18" s="502">
        <v>275</v>
      </c>
      <c r="AG18" s="606">
        <v>16</v>
      </c>
      <c r="AH18" s="607">
        <v>317362</v>
      </c>
      <c r="AI18" s="608">
        <f t="shared" si="4"/>
        <v>317346</v>
      </c>
      <c r="AJ18" s="609">
        <f t="shared" si="5"/>
        <v>-16</v>
      </c>
      <c r="AL18" s="602">
        <f t="shared" si="6"/>
        <v>10092</v>
      </c>
      <c r="AM18" s="610">
        <f t="shared" si="6"/>
        <v>10094</v>
      </c>
      <c r="AN18" s="611">
        <f t="shared" si="7"/>
        <v>2</v>
      </c>
      <c r="AO18" s="612">
        <f t="shared" si="8"/>
        <v>1.9813750743015652E-4</v>
      </c>
    </row>
    <row r="19" spans="1:41" x14ac:dyDescent="0.2">
      <c r="A19" s="502">
        <v>275</v>
      </c>
      <c r="B19" s="503">
        <v>0.375</v>
      </c>
      <c r="C19" s="504">
        <v>2013</v>
      </c>
      <c r="D19" s="504">
        <v>3</v>
      </c>
      <c r="E19" s="504">
        <v>17</v>
      </c>
      <c r="F19" s="505">
        <v>327440</v>
      </c>
      <c r="G19" s="504">
        <v>0</v>
      </c>
      <c r="H19" s="505">
        <v>323507</v>
      </c>
      <c r="I19" s="504">
        <v>0</v>
      </c>
      <c r="J19" s="504">
        <v>0</v>
      </c>
      <c r="K19" s="504">
        <v>0</v>
      </c>
      <c r="L19" s="506">
        <v>326.21929999999998</v>
      </c>
      <c r="M19" s="505">
        <v>21.8</v>
      </c>
      <c r="N19" s="507">
        <v>0</v>
      </c>
      <c r="O19" s="508">
        <v>9704</v>
      </c>
      <c r="P19" s="493">
        <f t="shared" si="0"/>
        <v>9704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9704</v>
      </c>
      <c r="W19" s="515">
        <f t="shared" si="10"/>
        <v>342693.55767999997</v>
      </c>
      <c r="Y19" s="513">
        <f t="shared" si="11"/>
        <v>84.937980590838677</v>
      </c>
      <c r="Z19" s="510">
        <f t="shared" si="12"/>
        <v>355.6183371377233</v>
      </c>
      <c r="AA19" s="511">
        <f t="shared" si="13"/>
        <v>337.06019256293149</v>
      </c>
      <c r="AE19" s="598" t="str">
        <f t="shared" si="3"/>
        <v>327440</v>
      </c>
      <c r="AF19" s="502">
        <v>275</v>
      </c>
      <c r="AG19" s="606">
        <v>17</v>
      </c>
      <c r="AH19" s="607">
        <v>327454</v>
      </c>
      <c r="AI19" s="608">
        <f t="shared" si="4"/>
        <v>327440</v>
      </c>
      <c r="AJ19" s="609">
        <f t="shared" si="5"/>
        <v>-14</v>
      </c>
      <c r="AL19" s="602">
        <f t="shared" si="6"/>
        <v>9706</v>
      </c>
      <c r="AM19" s="610">
        <f t="shared" si="6"/>
        <v>9704</v>
      </c>
      <c r="AN19" s="611">
        <f t="shared" si="7"/>
        <v>-2</v>
      </c>
      <c r="AO19" s="612">
        <f t="shared" si="8"/>
        <v>-2.0610057708161583E-4</v>
      </c>
    </row>
    <row r="20" spans="1:41" x14ac:dyDescent="0.2">
      <c r="A20" s="502">
        <v>275</v>
      </c>
      <c r="B20" s="503">
        <v>0.375</v>
      </c>
      <c r="C20" s="504">
        <v>2013</v>
      </c>
      <c r="D20" s="504">
        <v>3</v>
      </c>
      <c r="E20" s="504">
        <v>18</v>
      </c>
      <c r="F20" s="505">
        <v>337144</v>
      </c>
      <c r="G20" s="504">
        <v>0</v>
      </c>
      <c r="H20" s="505">
        <v>323915</v>
      </c>
      <c r="I20" s="504">
        <v>0</v>
      </c>
      <c r="J20" s="504">
        <v>0</v>
      </c>
      <c r="K20" s="504">
        <v>0</v>
      </c>
      <c r="L20" s="506">
        <v>327.22750000000002</v>
      </c>
      <c r="M20" s="505">
        <v>22.8</v>
      </c>
      <c r="N20" s="507">
        <v>0</v>
      </c>
      <c r="O20" s="508">
        <v>9912</v>
      </c>
      <c r="P20" s="493">
        <f t="shared" si="0"/>
        <v>9912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9912</v>
      </c>
      <c r="W20" s="515">
        <f t="shared" si="10"/>
        <v>350039.00903999998</v>
      </c>
      <c r="Y20" s="513">
        <f t="shared" si="11"/>
        <v>86.758580339694234</v>
      </c>
      <c r="Z20" s="510">
        <f t="shared" si="12"/>
        <v>363.24082416623179</v>
      </c>
      <c r="AA20" s="511">
        <f t="shared" si="13"/>
        <v>344.28489578357141</v>
      </c>
      <c r="AE20" s="598" t="str">
        <f t="shared" si="3"/>
        <v>337144</v>
      </c>
      <c r="AF20" s="502">
        <v>275</v>
      </c>
      <c r="AG20" s="606">
        <v>18</v>
      </c>
      <c r="AH20" s="607">
        <v>337160</v>
      </c>
      <c r="AI20" s="608">
        <f t="shared" si="4"/>
        <v>337144</v>
      </c>
      <c r="AJ20" s="609">
        <f t="shared" si="5"/>
        <v>-16</v>
      </c>
      <c r="AL20" s="602">
        <f t="shared" si="6"/>
        <v>9911</v>
      </c>
      <c r="AM20" s="610">
        <f t="shared" si="6"/>
        <v>9912</v>
      </c>
      <c r="AN20" s="611">
        <f t="shared" si="7"/>
        <v>1</v>
      </c>
      <c r="AO20" s="612">
        <f t="shared" si="8"/>
        <v>1.0088781275221953E-4</v>
      </c>
    </row>
    <row r="21" spans="1:41" x14ac:dyDescent="0.2">
      <c r="A21" s="502">
        <v>275</v>
      </c>
      <c r="B21" s="503">
        <v>0.375</v>
      </c>
      <c r="C21" s="504">
        <v>2013</v>
      </c>
      <c r="D21" s="504">
        <v>3</v>
      </c>
      <c r="E21" s="504">
        <v>19</v>
      </c>
      <c r="F21" s="505">
        <v>347056</v>
      </c>
      <c r="G21" s="504">
        <v>0</v>
      </c>
      <c r="H21" s="505">
        <v>324333</v>
      </c>
      <c r="I21" s="504">
        <v>0</v>
      </c>
      <c r="J21" s="504">
        <v>0</v>
      </c>
      <c r="K21" s="504">
        <v>0</v>
      </c>
      <c r="L21" s="506">
        <v>326.161</v>
      </c>
      <c r="M21" s="505">
        <v>22.9</v>
      </c>
      <c r="N21" s="507">
        <v>0</v>
      </c>
      <c r="O21" s="508">
        <v>10067</v>
      </c>
      <c r="P21" s="493">
        <f t="shared" si="0"/>
        <v>10067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10067</v>
      </c>
      <c r="W21" s="515">
        <f t="shared" si="10"/>
        <v>355512.78288999997</v>
      </c>
      <c r="Y21" s="513">
        <f t="shared" si="11"/>
        <v>88.115277267927965</v>
      </c>
      <c r="Z21" s="510">
        <f t="shared" si="12"/>
        <v>368.92104286536079</v>
      </c>
      <c r="AA21" s="511">
        <f t="shared" si="13"/>
        <v>349.6686890489521</v>
      </c>
      <c r="AE21" s="598" t="str">
        <f t="shared" si="3"/>
        <v>347056</v>
      </c>
      <c r="AF21" s="502">
        <v>275</v>
      </c>
      <c r="AG21" s="606">
        <v>19</v>
      </c>
      <c r="AH21" s="607">
        <v>347071</v>
      </c>
      <c r="AI21" s="608">
        <f t="shared" si="4"/>
        <v>347056</v>
      </c>
      <c r="AJ21" s="609">
        <f t="shared" si="5"/>
        <v>-15</v>
      </c>
      <c r="AL21" s="602">
        <f t="shared" si="6"/>
        <v>10068</v>
      </c>
      <c r="AM21" s="610">
        <f t="shared" si="6"/>
        <v>10067</v>
      </c>
      <c r="AN21" s="611">
        <f t="shared" si="7"/>
        <v>-1</v>
      </c>
      <c r="AO21" s="612">
        <f t="shared" si="8"/>
        <v>-9.9334459123870075E-5</v>
      </c>
    </row>
    <row r="22" spans="1:41" x14ac:dyDescent="0.2">
      <c r="A22" s="502">
        <v>275</v>
      </c>
      <c r="B22" s="503">
        <v>0.375</v>
      </c>
      <c r="C22" s="504">
        <v>2013</v>
      </c>
      <c r="D22" s="504">
        <v>3</v>
      </c>
      <c r="E22" s="504">
        <v>20</v>
      </c>
      <c r="F22" s="505">
        <v>357123</v>
      </c>
      <c r="G22" s="504">
        <v>0</v>
      </c>
      <c r="H22" s="505">
        <v>324767</v>
      </c>
      <c r="I22" s="504">
        <v>0</v>
      </c>
      <c r="J22" s="504">
        <v>0</v>
      </c>
      <c r="K22" s="504">
        <v>0</v>
      </c>
      <c r="L22" s="506">
        <v>319.42610000000002</v>
      </c>
      <c r="M22" s="505">
        <v>22.9</v>
      </c>
      <c r="N22" s="507">
        <v>0</v>
      </c>
      <c r="O22" s="508">
        <v>10297</v>
      </c>
      <c r="P22" s="493">
        <f t="shared" si="0"/>
        <v>10297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10297</v>
      </c>
      <c r="W22" s="515">
        <f t="shared" si="10"/>
        <v>363635.15698999999</v>
      </c>
      <c r="Y22" s="513">
        <f t="shared" si="11"/>
        <v>90.128440451758635</v>
      </c>
      <c r="Z22" s="510">
        <f t="shared" si="12"/>
        <v>377.34975448342306</v>
      </c>
      <c r="AA22" s="511">
        <f t="shared" si="13"/>
        <v>357.65754357177508</v>
      </c>
      <c r="AE22" s="598" t="str">
        <f t="shared" si="3"/>
        <v>357123</v>
      </c>
      <c r="AF22" s="502">
        <v>275</v>
      </c>
      <c r="AG22" s="606">
        <v>20</v>
      </c>
      <c r="AH22" s="607">
        <v>357139</v>
      </c>
      <c r="AI22" s="608">
        <f t="shared" si="4"/>
        <v>357123</v>
      </c>
      <c r="AJ22" s="609">
        <f t="shared" si="5"/>
        <v>-16</v>
      </c>
      <c r="AL22" s="602">
        <f t="shared" si="6"/>
        <v>10296</v>
      </c>
      <c r="AM22" s="610">
        <f t="shared" si="6"/>
        <v>10297</v>
      </c>
      <c r="AN22" s="611">
        <f t="shared" si="7"/>
        <v>1</v>
      </c>
      <c r="AO22" s="612">
        <f t="shared" si="8"/>
        <v>9.711566475672526E-5</v>
      </c>
    </row>
    <row r="23" spans="1:41" x14ac:dyDescent="0.2">
      <c r="A23" s="502">
        <v>275</v>
      </c>
      <c r="B23" s="503">
        <v>0.375</v>
      </c>
      <c r="C23" s="504">
        <v>2013</v>
      </c>
      <c r="D23" s="504">
        <v>3</v>
      </c>
      <c r="E23" s="504">
        <v>21</v>
      </c>
      <c r="F23" s="505">
        <v>367420</v>
      </c>
      <c r="G23" s="504">
        <v>0</v>
      </c>
      <c r="H23" s="505">
        <v>325212</v>
      </c>
      <c r="I23" s="504">
        <v>0</v>
      </c>
      <c r="J23" s="504">
        <v>0</v>
      </c>
      <c r="K23" s="504">
        <v>0</v>
      </c>
      <c r="L23" s="506">
        <v>318.6628</v>
      </c>
      <c r="M23" s="505">
        <v>22.6</v>
      </c>
      <c r="N23" s="507">
        <v>0</v>
      </c>
      <c r="O23" s="508">
        <v>10097</v>
      </c>
      <c r="P23" s="493">
        <f t="shared" si="0"/>
        <v>10097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10097</v>
      </c>
      <c r="W23" s="515">
        <f t="shared" si="10"/>
        <v>356572.22298999998</v>
      </c>
      <c r="Y23" s="513">
        <f t="shared" si="11"/>
        <v>88.377863770166741</v>
      </c>
      <c r="Z23" s="510">
        <f t="shared" si="12"/>
        <v>370.02044003293412</v>
      </c>
      <c r="AA23" s="511">
        <f t="shared" si="13"/>
        <v>350.71071355192902</v>
      </c>
      <c r="AE23" s="598" t="str">
        <f t="shared" si="3"/>
        <v>367420</v>
      </c>
      <c r="AF23" s="502">
        <v>275</v>
      </c>
      <c r="AG23" s="606">
        <v>21</v>
      </c>
      <c r="AH23" s="607">
        <v>367435</v>
      </c>
      <c r="AI23" s="608">
        <f t="shared" si="4"/>
        <v>367420</v>
      </c>
      <c r="AJ23" s="609">
        <f t="shared" si="5"/>
        <v>-15</v>
      </c>
      <c r="AL23" s="602">
        <f t="shared" si="6"/>
        <v>10104</v>
      </c>
      <c r="AM23" s="610">
        <f t="shared" si="6"/>
        <v>10097</v>
      </c>
      <c r="AN23" s="611">
        <f t="shared" si="7"/>
        <v>-7</v>
      </c>
      <c r="AO23" s="612">
        <f t="shared" si="8"/>
        <v>-6.9327523026641578E-4</v>
      </c>
    </row>
    <row r="24" spans="1:41" x14ac:dyDescent="0.2">
      <c r="A24" s="502">
        <v>275</v>
      </c>
      <c r="B24" s="503">
        <v>0.375</v>
      </c>
      <c r="C24" s="504">
        <v>2013</v>
      </c>
      <c r="D24" s="504">
        <v>3</v>
      </c>
      <c r="E24" s="504">
        <v>22</v>
      </c>
      <c r="F24" s="505">
        <v>377517</v>
      </c>
      <c r="G24" s="504">
        <v>0</v>
      </c>
      <c r="H24" s="505">
        <v>325651</v>
      </c>
      <c r="I24" s="504">
        <v>0</v>
      </c>
      <c r="J24" s="504">
        <v>0</v>
      </c>
      <c r="K24" s="504">
        <v>0</v>
      </c>
      <c r="L24" s="506">
        <v>317.68189999999998</v>
      </c>
      <c r="M24" s="505">
        <v>23</v>
      </c>
      <c r="N24" s="507">
        <v>0</v>
      </c>
      <c r="O24" s="508">
        <v>10017</v>
      </c>
      <c r="P24" s="493">
        <f t="shared" si="0"/>
        <v>10017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10017</v>
      </c>
      <c r="W24" s="515">
        <f t="shared" si="10"/>
        <v>353747.04939</v>
      </c>
      <c r="Y24" s="513">
        <f t="shared" si="11"/>
        <v>87.677633097529977</v>
      </c>
      <c r="Z24" s="510">
        <f t="shared" si="12"/>
        <v>367.08871425273855</v>
      </c>
      <c r="AA24" s="511">
        <f t="shared" si="13"/>
        <v>347.93198154399062</v>
      </c>
      <c r="AE24" s="598" t="str">
        <f t="shared" si="3"/>
        <v>377517</v>
      </c>
      <c r="AF24" s="502">
        <v>275</v>
      </c>
      <c r="AG24" s="606">
        <v>22</v>
      </c>
      <c r="AH24" s="607">
        <v>377539</v>
      </c>
      <c r="AI24" s="608">
        <f t="shared" si="4"/>
        <v>377517</v>
      </c>
      <c r="AJ24" s="609">
        <f t="shared" si="5"/>
        <v>-22</v>
      </c>
      <c r="AL24" s="602">
        <f t="shared" si="6"/>
        <v>10018</v>
      </c>
      <c r="AM24" s="610">
        <f t="shared" si="6"/>
        <v>10017</v>
      </c>
      <c r="AN24" s="611">
        <f t="shared" si="7"/>
        <v>-1</v>
      </c>
      <c r="AO24" s="612">
        <f t="shared" si="8"/>
        <v>-9.9830288509533793E-5</v>
      </c>
    </row>
    <row r="25" spans="1:41" x14ac:dyDescent="0.2">
      <c r="A25" s="502">
        <v>275</v>
      </c>
      <c r="B25" s="503">
        <v>0.375</v>
      </c>
      <c r="C25" s="504">
        <v>2013</v>
      </c>
      <c r="D25" s="504">
        <v>3</v>
      </c>
      <c r="E25" s="504">
        <v>23</v>
      </c>
      <c r="F25" s="505">
        <v>387534</v>
      </c>
      <c r="G25" s="504">
        <v>0</v>
      </c>
      <c r="H25" s="505">
        <v>326084</v>
      </c>
      <c r="I25" s="504">
        <v>0</v>
      </c>
      <c r="J25" s="504">
        <v>0</v>
      </c>
      <c r="K25" s="504">
        <v>0</v>
      </c>
      <c r="L25" s="506">
        <v>318.61099999999999</v>
      </c>
      <c r="M25" s="505">
        <v>23</v>
      </c>
      <c r="N25" s="507">
        <v>0</v>
      </c>
      <c r="O25" s="508">
        <v>9646</v>
      </c>
      <c r="P25" s="493">
        <f t="shared" si="0"/>
        <v>9646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9646</v>
      </c>
      <c r="W25" s="515">
        <f t="shared" si="10"/>
        <v>340645.30682</v>
      </c>
      <c r="Y25" s="513">
        <f t="shared" si="11"/>
        <v>84.430313353177027</v>
      </c>
      <c r="Z25" s="510">
        <f t="shared" si="12"/>
        <v>353.49283594708157</v>
      </c>
      <c r="AA25" s="511">
        <f t="shared" si="13"/>
        <v>335.04561185717614</v>
      </c>
      <c r="AE25" s="598" t="str">
        <f t="shared" si="3"/>
        <v>387534</v>
      </c>
      <c r="AF25" s="502">
        <v>275</v>
      </c>
      <c r="AG25" s="606">
        <v>23</v>
      </c>
      <c r="AH25" s="607">
        <v>387557</v>
      </c>
      <c r="AI25" s="608">
        <f t="shared" si="4"/>
        <v>387534</v>
      </c>
      <c r="AJ25" s="609">
        <f t="shared" si="5"/>
        <v>-23</v>
      </c>
      <c r="AL25" s="602">
        <f t="shared" si="6"/>
        <v>9641</v>
      </c>
      <c r="AM25" s="610">
        <f t="shared" si="6"/>
        <v>9646</v>
      </c>
      <c r="AN25" s="611">
        <f t="shared" si="7"/>
        <v>5</v>
      </c>
      <c r="AO25" s="612">
        <f t="shared" si="8"/>
        <v>5.1834957495334858E-4</v>
      </c>
    </row>
    <row r="26" spans="1:41" x14ac:dyDescent="0.2">
      <c r="A26" s="502">
        <v>275</v>
      </c>
      <c r="B26" s="503">
        <v>0.375</v>
      </c>
      <c r="C26" s="504">
        <v>2013</v>
      </c>
      <c r="D26" s="504">
        <v>3</v>
      </c>
      <c r="E26" s="504">
        <v>24</v>
      </c>
      <c r="F26" s="505">
        <v>397180</v>
      </c>
      <c r="G26" s="504">
        <v>0</v>
      </c>
      <c r="H26" s="505">
        <v>326497</v>
      </c>
      <c r="I26" s="504">
        <v>0</v>
      </c>
      <c r="J26" s="504">
        <v>0</v>
      </c>
      <c r="K26" s="504">
        <v>0</v>
      </c>
      <c r="L26" s="506">
        <v>323.15030000000002</v>
      </c>
      <c r="M26" s="505">
        <v>23.1</v>
      </c>
      <c r="N26" s="507">
        <v>0</v>
      </c>
      <c r="O26" s="508">
        <v>10096</v>
      </c>
      <c r="P26" s="493">
        <f t="shared" si="0"/>
        <v>10096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10096</v>
      </c>
      <c r="W26" s="515">
        <f t="shared" si="10"/>
        <v>356536.90831999999</v>
      </c>
      <c r="Y26" s="513">
        <f t="shared" si="11"/>
        <v>88.369110886758776</v>
      </c>
      <c r="Z26" s="510">
        <f t="shared" si="12"/>
        <v>369.98379346068168</v>
      </c>
      <c r="AA26" s="511">
        <f t="shared" si="13"/>
        <v>350.67597940182981</v>
      </c>
      <c r="AE26" s="598" t="str">
        <f t="shared" si="3"/>
        <v>397180</v>
      </c>
      <c r="AF26" s="502">
        <v>275</v>
      </c>
      <c r="AG26" s="606">
        <v>24</v>
      </c>
      <c r="AH26" s="607">
        <v>397198</v>
      </c>
      <c r="AI26" s="608">
        <f t="shared" si="4"/>
        <v>397180</v>
      </c>
      <c r="AJ26" s="609">
        <f t="shared" si="5"/>
        <v>-18</v>
      </c>
      <c r="AL26" s="602">
        <f t="shared" si="6"/>
        <v>10101</v>
      </c>
      <c r="AM26" s="610">
        <f t="shared" si="6"/>
        <v>10096</v>
      </c>
      <c r="AN26" s="611">
        <f t="shared" si="7"/>
        <v>-5</v>
      </c>
      <c r="AO26" s="612">
        <f t="shared" si="8"/>
        <v>-4.9524564183835184E-4</v>
      </c>
    </row>
    <row r="27" spans="1:41" x14ac:dyDescent="0.2">
      <c r="A27" s="502">
        <v>275</v>
      </c>
      <c r="B27" s="503">
        <v>0.375</v>
      </c>
      <c r="C27" s="504">
        <v>2013</v>
      </c>
      <c r="D27" s="504">
        <v>3</v>
      </c>
      <c r="E27" s="504">
        <v>25</v>
      </c>
      <c r="F27" s="505">
        <v>407276</v>
      </c>
      <c r="G27" s="504">
        <v>0</v>
      </c>
      <c r="H27" s="505">
        <v>326926</v>
      </c>
      <c r="I27" s="504">
        <v>0</v>
      </c>
      <c r="J27" s="504">
        <v>0</v>
      </c>
      <c r="K27" s="504">
        <v>0</v>
      </c>
      <c r="L27" s="506">
        <v>323.79750000000001</v>
      </c>
      <c r="M27" s="505">
        <v>22.9</v>
      </c>
      <c r="N27" s="507">
        <v>0</v>
      </c>
      <c r="O27" s="508">
        <v>10643</v>
      </c>
      <c r="P27" s="493">
        <f t="shared" si="0"/>
        <v>10643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10643</v>
      </c>
      <c r="W27" s="515">
        <f t="shared" si="10"/>
        <v>375854.03281</v>
      </c>
      <c r="Y27" s="513">
        <f t="shared" si="11"/>
        <v>93.156938110912606</v>
      </c>
      <c r="Z27" s="510">
        <f t="shared" si="12"/>
        <v>390.02946848276889</v>
      </c>
      <c r="AA27" s="511">
        <f t="shared" si="13"/>
        <v>369.67555950610881</v>
      </c>
      <c r="AE27" s="598" t="str">
        <f t="shared" si="3"/>
        <v>407276</v>
      </c>
      <c r="AF27" s="502">
        <v>275</v>
      </c>
      <c r="AG27" s="606">
        <v>25</v>
      </c>
      <c r="AH27" s="607">
        <v>407299</v>
      </c>
      <c r="AI27" s="608">
        <f t="shared" si="4"/>
        <v>407276</v>
      </c>
      <c r="AJ27" s="609">
        <f t="shared" si="5"/>
        <v>-23</v>
      </c>
      <c r="AL27" s="602">
        <f t="shared" si="6"/>
        <v>10637</v>
      </c>
      <c r="AM27" s="610">
        <f t="shared" si="6"/>
        <v>10643</v>
      </c>
      <c r="AN27" s="611">
        <f t="shared" si="7"/>
        <v>6</v>
      </c>
      <c r="AO27" s="612">
        <f t="shared" si="8"/>
        <v>5.6375082213661564E-4</v>
      </c>
    </row>
    <row r="28" spans="1:41" x14ac:dyDescent="0.2">
      <c r="A28" s="502">
        <v>275</v>
      </c>
      <c r="B28" s="503">
        <v>0.375</v>
      </c>
      <c r="C28" s="504">
        <v>2013</v>
      </c>
      <c r="D28" s="504">
        <v>3</v>
      </c>
      <c r="E28" s="504">
        <v>26</v>
      </c>
      <c r="F28" s="505">
        <v>417919</v>
      </c>
      <c r="G28" s="504">
        <v>0</v>
      </c>
      <c r="H28" s="505">
        <v>327388</v>
      </c>
      <c r="I28" s="504">
        <v>0</v>
      </c>
      <c r="J28" s="504">
        <v>0</v>
      </c>
      <c r="K28" s="504">
        <v>0</v>
      </c>
      <c r="L28" s="506">
        <v>317.85809999999998</v>
      </c>
      <c r="M28" s="505">
        <v>22.9</v>
      </c>
      <c r="N28" s="507">
        <v>0</v>
      </c>
      <c r="O28" s="508">
        <v>10338</v>
      </c>
      <c r="P28" s="493">
        <f t="shared" si="0"/>
        <v>10338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10338</v>
      </c>
      <c r="W28" s="515">
        <f t="shared" si="10"/>
        <v>365083.05845999997</v>
      </c>
      <c r="Y28" s="513">
        <f t="shared" si="11"/>
        <v>90.487308671484982</v>
      </c>
      <c r="Z28" s="510">
        <f t="shared" si="12"/>
        <v>378.8522639457733</v>
      </c>
      <c r="AA28" s="511">
        <f t="shared" si="13"/>
        <v>359.08164372584355</v>
      </c>
      <c r="AE28" s="598" t="str">
        <f t="shared" si="3"/>
        <v>417919</v>
      </c>
      <c r="AF28" s="502">
        <v>275</v>
      </c>
      <c r="AG28" s="606">
        <v>26</v>
      </c>
      <c r="AH28" s="607">
        <v>417936</v>
      </c>
      <c r="AI28" s="608">
        <f t="shared" si="4"/>
        <v>417919</v>
      </c>
      <c r="AJ28" s="609">
        <f t="shared" si="5"/>
        <v>-17</v>
      </c>
      <c r="AL28" s="602">
        <f t="shared" si="6"/>
        <v>10341</v>
      </c>
      <c r="AM28" s="610">
        <f t="shared" si="6"/>
        <v>10338</v>
      </c>
      <c r="AN28" s="611">
        <f t="shared" si="7"/>
        <v>-3</v>
      </c>
      <c r="AO28" s="612">
        <f t="shared" si="8"/>
        <v>-2.901915264074289E-4</v>
      </c>
    </row>
    <row r="29" spans="1:41" x14ac:dyDescent="0.2">
      <c r="A29" s="502">
        <v>275</v>
      </c>
      <c r="B29" s="503">
        <v>0.375</v>
      </c>
      <c r="C29" s="504">
        <v>2013</v>
      </c>
      <c r="D29" s="504">
        <v>3</v>
      </c>
      <c r="E29" s="504">
        <v>27</v>
      </c>
      <c r="F29" s="505">
        <v>428257</v>
      </c>
      <c r="G29" s="504">
        <v>0</v>
      </c>
      <c r="H29" s="505">
        <v>327834</v>
      </c>
      <c r="I29" s="504">
        <v>0</v>
      </c>
      <c r="J29" s="504">
        <v>0</v>
      </c>
      <c r="K29" s="504">
        <v>0</v>
      </c>
      <c r="L29" s="506">
        <v>317.97089999999997</v>
      </c>
      <c r="M29" s="505">
        <v>22</v>
      </c>
      <c r="N29" s="507">
        <v>0</v>
      </c>
      <c r="O29" s="508">
        <v>10660</v>
      </c>
      <c r="P29" s="493">
        <f t="shared" si="0"/>
        <v>10660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10660</v>
      </c>
      <c r="W29" s="515">
        <f t="shared" si="10"/>
        <v>376454.38219999999</v>
      </c>
      <c r="Y29" s="513">
        <f t="shared" si="11"/>
        <v>93.305737128847923</v>
      </c>
      <c r="Z29" s="510">
        <f t="shared" si="12"/>
        <v>390.65246021106049</v>
      </c>
      <c r="AA29" s="511">
        <f t="shared" si="13"/>
        <v>370.26604005779569</v>
      </c>
      <c r="AE29" s="598" t="str">
        <f t="shared" si="3"/>
        <v>428257</v>
      </c>
      <c r="AF29" s="502">
        <v>275</v>
      </c>
      <c r="AG29" s="606">
        <v>27</v>
      </c>
      <c r="AH29" s="607">
        <v>428277</v>
      </c>
      <c r="AI29" s="608">
        <f t="shared" si="4"/>
        <v>428257</v>
      </c>
      <c r="AJ29" s="609">
        <f t="shared" si="5"/>
        <v>-20</v>
      </c>
      <c r="AL29" s="602">
        <f t="shared" si="6"/>
        <v>10664</v>
      </c>
      <c r="AM29" s="610">
        <f t="shared" si="6"/>
        <v>10660</v>
      </c>
      <c r="AN29" s="611">
        <f t="shared" si="7"/>
        <v>-4</v>
      </c>
      <c r="AO29" s="612">
        <f t="shared" si="8"/>
        <v>-3.7523452157598499E-4</v>
      </c>
    </row>
    <row r="30" spans="1:41" x14ac:dyDescent="0.2">
      <c r="A30" s="502">
        <v>275</v>
      </c>
      <c r="B30" s="503">
        <v>0.375</v>
      </c>
      <c r="C30" s="504">
        <v>2013</v>
      </c>
      <c r="D30" s="504">
        <v>3</v>
      </c>
      <c r="E30" s="504">
        <v>28</v>
      </c>
      <c r="F30" s="505">
        <v>438917</v>
      </c>
      <c r="G30" s="504">
        <v>0</v>
      </c>
      <c r="H30" s="505">
        <v>328292</v>
      </c>
      <c r="I30" s="504">
        <v>0</v>
      </c>
      <c r="J30" s="504">
        <v>0</v>
      </c>
      <c r="K30" s="504">
        <v>0</v>
      </c>
      <c r="L30" s="506">
        <v>321.45400000000001</v>
      </c>
      <c r="M30" s="505">
        <v>23.2</v>
      </c>
      <c r="N30" s="507">
        <v>0</v>
      </c>
      <c r="O30" s="508">
        <v>10134</v>
      </c>
      <c r="P30" s="493">
        <f t="shared" si="0"/>
        <v>10134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10134</v>
      </c>
      <c r="W30" s="515">
        <f t="shared" si="10"/>
        <v>357878.86577999999</v>
      </c>
      <c r="Y30" s="513">
        <f t="shared" si="11"/>
        <v>88.701720456261242</v>
      </c>
      <c r="Z30" s="510">
        <f t="shared" si="12"/>
        <v>371.37636320627456</v>
      </c>
      <c r="AA30" s="511">
        <f t="shared" si="13"/>
        <v>351.99587710560053</v>
      </c>
      <c r="AE30" s="598" t="str">
        <f t="shared" si="3"/>
        <v>438917</v>
      </c>
      <c r="AF30" s="502">
        <v>275</v>
      </c>
      <c r="AG30" s="606">
        <v>28</v>
      </c>
      <c r="AH30" s="607">
        <v>438941</v>
      </c>
      <c r="AI30" s="608">
        <f t="shared" si="4"/>
        <v>438917</v>
      </c>
      <c r="AJ30" s="609">
        <f t="shared" si="5"/>
        <v>-24</v>
      </c>
      <c r="AL30" s="602">
        <f t="shared" si="6"/>
        <v>10132</v>
      </c>
      <c r="AM30" s="610">
        <f t="shared" si="6"/>
        <v>10134</v>
      </c>
      <c r="AN30" s="611">
        <f t="shared" si="7"/>
        <v>2</v>
      </c>
      <c r="AO30" s="612">
        <f t="shared" si="8"/>
        <v>1.9735543714229328E-4</v>
      </c>
    </row>
    <row r="31" spans="1:41" x14ac:dyDescent="0.2">
      <c r="A31" s="502">
        <v>275</v>
      </c>
      <c r="B31" s="503">
        <v>0.375</v>
      </c>
      <c r="C31" s="504">
        <v>2013</v>
      </c>
      <c r="D31" s="504">
        <v>3</v>
      </c>
      <c r="E31" s="504">
        <v>29</v>
      </c>
      <c r="F31" s="505">
        <v>449051</v>
      </c>
      <c r="G31" s="504">
        <v>0</v>
      </c>
      <c r="H31" s="505">
        <v>328722</v>
      </c>
      <c r="I31" s="504">
        <v>0</v>
      </c>
      <c r="J31" s="504">
        <v>0</v>
      </c>
      <c r="K31" s="504">
        <v>0</v>
      </c>
      <c r="L31" s="506">
        <v>325.4667</v>
      </c>
      <c r="M31" s="505">
        <v>23.4</v>
      </c>
      <c r="N31" s="507">
        <v>0</v>
      </c>
      <c r="O31" s="508">
        <v>10460</v>
      </c>
      <c r="P31" s="493">
        <f t="shared" si="0"/>
        <v>10460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10460</v>
      </c>
      <c r="W31" s="515">
        <f t="shared" si="10"/>
        <v>369391.44819999998</v>
      </c>
      <c r="Y31" s="513">
        <f t="shared" si="11"/>
        <v>91.555160447256029</v>
      </c>
      <c r="Z31" s="510">
        <f t="shared" si="12"/>
        <v>383.32314576057155</v>
      </c>
      <c r="AA31" s="511">
        <f t="shared" si="13"/>
        <v>363.31921003794963</v>
      </c>
      <c r="AE31" s="598" t="str">
        <f t="shared" si="3"/>
        <v>449051</v>
      </c>
      <c r="AF31" s="502">
        <v>275</v>
      </c>
      <c r="AG31" s="606">
        <v>29</v>
      </c>
      <c r="AH31" s="607">
        <v>449073</v>
      </c>
      <c r="AI31" s="608">
        <f t="shared" si="4"/>
        <v>449051</v>
      </c>
      <c r="AJ31" s="609">
        <f t="shared" si="5"/>
        <v>-22</v>
      </c>
      <c r="AL31" s="602">
        <f t="shared" si="6"/>
        <v>10461</v>
      </c>
      <c r="AM31" s="610">
        <f t="shared" si="6"/>
        <v>10460</v>
      </c>
      <c r="AN31" s="611">
        <f t="shared" si="7"/>
        <v>-1</v>
      </c>
      <c r="AO31" s="612">
        <f t="shared" si="8"/>
        <v>-9.5602294455066921E-5</v>
      </c>
    </row>
    <row r="32" spans="1:41" x14ac:dyDescent="0.2">
      <c r="A32" s="502">
        <v>275</v>
      </c>
      <c r="B32" s="503">
        <v>0.375</v>
      </c>
      <c r="C32" s="504">
        <v>2013</v>
      </c>
      <c r="D32" s="504">
        <v>3</v>
      </c>
      <c r="E32" s="504">
        <v>30</v>
      </c>
      <c r="F32" s="505">
        <v>459511</v>
      </c>
      <c r="G32" s="504">
        <v>0</v>
      </c>
      <c r="H32" s="505">
        <v>329166</v>
      </c>
      <c r="I32" s="504">
        <v>0</v>
      </c>
      <c r="J32" s="504">
        <v>0</v>
      </c>
      <c r="K32" s="504">
        <v>0</v>
      </c>
      <c r="L32" s="506">
        <v>325.29500000000002</v>
      </c>
      <c r="M32" s="505">
        <v>23.9</v>
      </c>
      <c r="N32" s="507">
        <v>0</v>
      </c>
      <c r="O32" s="508">
        <v>10048</v>
      </c>
      <c r="P32" s="493">
        <f t="shared" si="0"/>
        <v>10048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10048</v>
      </c>
      <c r="W32" s="515">
        <f t="shared" si="10"/>
        <v>354841.80416</v>
      </c>
      <c r="Y32" s="513">
        <f t="shared" si="11"/>
        <v>87.948972483176718</v>
      </c>
      <c r="Z32" s="510">
        <f t="shared" si="12"/>
        <v>368.22475799256432</v>
      </c>
      <c r="AA32" s="511">
        <f t="shared" si="13"/>
        <v>349.00874019706674</v>
      </c>
      <c r="AE32" s="598" t="str">
        <f t="shared" si="3"/>
        <v>459511</v>
      </c>
      <c r="AF32" s="502">
        <v>275</v>
      </c>
      <c r="AG32" s="606">
        <v>30</v>
      </c>
      <c r="AH32" s="607">
        <v>459534</v>
      </c>
      <c r="AI32" s="608">
        <f t="shared" si="4"/>
        <v>459511</v>
      </c>
      <c r="AJ32" s="609">
        <f t="shared" si="5"/>
        <v>-23</v>
      </c>
      <c r="AL32" s="602">
        <f t="shared" si="6"/>
        <v>10046</v>
      </c>
      <c r="AM32" s="610">
        <f t="shared" si="6"/>
        <v>10048</v>
      </c>
      <c r="AN32" s="611">
        <f t="shared" si="7"/>
        <v>2</v>
      </c>
      <c r="AO32" s="612">
        <f t="shared" si="8"/>
        <v>1.9904458598726116E-4</v>
      </c>
    </row>
    <row r="33" spans="1:41" ht="13.5" thickBot="1" x14ac:dyDescent="0.25">
      <c r="A33" s="502">
        <v>275</v>
      </c>
      <c r="B33" s="503">
        <v>0.375</v>
      </c>
      <c r="C33" s="504">
        <v>2013</v>
      </c>
      <c r="D33" s="504">
        <v>3</v>
      </c>
      <c r="E33" s="504">
        <v>31</v>
      </c>
      <c r="F33" s="505">
        <v>469559</v>
      </c>
      <c r="G33" s="504">
        <v>0</v>
      </c>
      <c r="H33" s="505">
        <v>329594</v>
      </c>
      <c r="I33" s="504">
        <v>0</v>
      </c>
      <c r="J33" s="504">
        <v>0</v>
      </c>
      <c r="K33" s="504">
        <v>0</v>
      </c>
      <c r="L33" s="506">
        <v>325.20510000000002</v>
      </c>
      <c r="M33" s="505">
        <v>24</v>
      </c>
      <c r="N33" s="507">
        <v>0</v>
      </c>
      <c r="O33" s="508">
        <v>8996</v>
      </c>
      <c r="P33" s="493">
        <f t="shared" si="0"/>
        <v>8996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8996</v>
      </c>
      <c r="W33" s="519">
        <f t="shared" si="10"/>
        <v>317690.77132</v>
      </c>
      <c r="Y33" s="513">
        <f t="shared" si="11"/>
        <v>78.74093913800337</v>
      </c>
      <c r="Z33" s="510">
        <f t="shared" si="12"/>
        <v>329.67256398299247</v>
      </c>
      <c r="AA33" s="511">
        <f t="shared" si="13"/>
        <v>312.46841429267641</v>
      </c>
      <c r="AE33" s="598" t="str">
        <f t="shared" si="3"/>
        <v>469559</v>
      </c>
      <c r="AF33" s="502">
        <v>275</v>
      </c>
      <c r="AG33" s="606">
        <v>31</v>
      </c>
      <c r="AH33" s="607">
        <v>469580</v>
      </c>
      <c r="AI33" s="608">
        <f t="shared" si="4"/>
        <v>469559</v>
      </c>
      <c r="AJ33" s="609">
        <f t="shared" si="5"/>
        <v>-21</v>
      </c>
      <c r="AL33" s="602">
        <f t="shared" si="6"/>
        <v>8995</v>
      </c>
      <c r="AM33" s="613">
        <f t="shared" si="6"/>
        <v>8996</v>
      </c>
      <c r="AN33" s="611">
        <f t="shared" si="7"/>
        <v>1</v>
      </c>
      <c r="AO33" s="612">
        <f t="shared" si="8"/>
        <v>1.1116051578479324E-4</v>
      </c>
    </row>
    <row r="34" spans="1:41" ht="13.5" thickBot="1" x14ac:dyDescent="0.25">
      <c r="A34" s="148">
        <v>275</v>
      </c>
      <c r="B34" s="520">
        <v>0.375</v>
      </c>
      <c r="C34" s="146">
        <v>2013</v>
      </c>
      <c r="D34" s="146">
        <v>4</v>
      </c>
      <c r="E34" s="146">
        <v>1</v>
      </c>
      <c r="F34" s="521">
        <v>478555</v>
      </c>
      <c r="G34" s="146">
        <v>0</v>
      </c>
      <c r="H34" s="521">
        <v>329978</v>
      </c>
      <c r="I34" s="146">
        <v>0</v>
      </c>
      <c r="J34" s="146">
        <v>0</v>
      </c>
      <c r="K34" s="146">
        <v>0</v>
      </c>
      <c r="L34" s="522">
        <v>324.02839999999998</v>
      </c>
      <c r="M34" s="521">
        <v>24.2</v>
      </c>
      <c r="N34" s="523">
        <v>0</v>
      </c>
      <c r="O34" s="524">
        <v>10043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478555</v>
      </c>
      <c r="AF34" s="148">
        <v>275</v>
      </c>
      <c r="AG34" s="614">
        <v>1</v>
      </c>
      <c r="AH34" s="615">
        <v>478575</v>
      </c>
      <c r="AI34" s="616">
        <f t="shared" si="4"/>
        <v>478555</v>
      </c>
      <c r="AJ34" s="617">
        <f t="shared" si="5"/>
        <v>-20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327.22750000000002</v>
      </c>
      <c r="M36" s="535">
        <f>MAX(M3:M34)</f>
        <v>24.2</v>
      </c>
      <c r="N36" s="533" t="s">
        <v>68</v>
      </c>
      <c r="O36" s="535">
        <f>SUM(O3:O33)</f>
        <v>308549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308549</v>
      </c>
      <c r="W36" s="539">
        <f>SUM(W3:W33)</f>
        <v>10896306.113830002</v>
      </c>
      <c r="Y36" s="540">
        <f>SUM(Y3:Y33)</f>
        <v>2688.8473822900214</v>
      </c>
      <c r="Z36" s="541">
        <f>SUM(Z3:Z33)</f>
        <v>11257.666220171861</v>
      </c>
      <c r="AA36" s="542">
        <f>SUM(AA3:AA33)</f>
        <v>10670.178524879622</v>
      </c>
      <c r="AF36" s="621" t="s">
        <v>208</v>
      </c>
      <c r="AG36" s="534">
        <f>COUNT(AG3:AG34)</f>
        <v>32</v>
      </c>
      <c r="AJ36" s="622">
        <f>SUM(AJ3:AJ33)</f>
        <v>-410</v>
      </c>
      <c r="AK36" s="623" t="s">
        <v>176</v>
      </c>
      <c r="AL36" s="624"/>
      <c r="AM36" s="624"/>
      <c r="AN36" s="622">
        <f>SUM(AN3:AN33)</f>
        <v>-20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320.79800937499994</v>
      </c>
      <c r="M37" s="543">
        <f>AVERAGE(M3:M34)</f>
        <v>22.631249999999998</v>
      </c>
      <c r="N37" s="533" t="s">
        <v>172</v>
      </c>
      <c r="O37" s="544">
        <f>O36*35.31467</f>
        <v>10896306.11383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>
        <f>IFERROR(AN36/SUM(AM3:AM33),"")</f>
        <v>-6.4819526234082748E-5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308.62560000000002</v>
      </c>
      <c r="M38" s="544">
        <f>MIN(M3:M34)</f>
        <v>20.399999999999999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352.87781031249995</v>
      </c>
      <c r="M44" s="551">
        <f>M37*(1+$L$43)</f>
        <v>24.894375</v>
      </c>
    </row>
    <row r="45" spans="1:41" x14ac:dyDescent="0.2">
      <c r="K45" s="550" t="s">
        <v>186</v>
      </c>
      <c r="L45" s="551">
        <f>L37*(1-$L$43)</f>
        <v>288.71820843749992</v>
      </c>
      <c r="M45" s="551">
        <f>M37*(1-$L$43)</f>
        <v>20.368124999999999</v>
      </c>
    </row>
    <row r="47" spans="1:41" x14ac:dyDescent="0.2">
      <c r="A47" s="533" t="s">
        <v>187</v>
      </c>
      <c r="B47" s="688" t="s">
        <v>238</v>
      </c>
    </row>
    <row r="48" spans="1:41" x14ac:dyDescent="0.2">
      <c r="A48" s="533" t="s">
        <v>189</v>
      </c>
      <c r="B48" s="553">
        <v>41199</v>
      </c>
    </row>
  </sheetData>
  <phoneticPr fontId="0" type="noConversion"/>
  <conditionalFormatting sqref="L3:L34">
    <cfRule type="cellIs" dxfId="1631" priority="47" stopIfTrue="1" operator="lessThan">
      <formula>$L$45</formula>
    </cfRule>
    <cfRule type="cellIs" dxfId="1630" priority="48" stopIfTrue="1" operator="greaterThan">
      <formula>$L$44</formula>
    </cfRule>
  </conditionalFormatting>
  <conditionalFormatting sqref="M3:M34">
    <cfRule type="cellIs" dxfId="1629" priority="45" stopIfTrue="1" operator="lessThan">
      <formula>$M$45</formula>
    </cfRule>
    <cfRule type="cellIs" dxfId="1628" priority="46" stopIfTrue="1" operator="greaterThan">
      <formula>$M$44</formula>
    </cfRule>
  </conditionalFormatting>
  <conditionalFormatting sqref="O3:O34">
    <cfRule type="cellIs" dxfId="1627" priority="44" stopIfTrue="1" operator="lessThan">
      <formula>0</formula>
    </cfRule>
  </conditionalFormatting>
  <conditionalFormatting sqref="O3:O33">
    <cfRule type="cellIs" dxfId="1626" priority="43" stopIfTrue="1" operator="lessThan">
      <formula>0</formula>
    </cfRule>
  </conditionalFormatting>
  <conditionalFormatting sqref="O3">
    <cfRule type="cellIs" dxfId="1625" priority="42" stopIfTrue="1" operator="notEqual">
      <formula>$P$3</formula>
    </cfRule>
  </conditionalFormatting>
  <conditionalFormatting sqref="O4">
    <cfRule type="cellIs" dxfId="1624" priority="41" stopIfTrue="1" operator="notEqual">
      <formula>P$4</formula>
    </cfRule>
  </conditionalFormatting>
  <conditionalFormatting sqref="O5">
    <cfRule type="cellIs" dxfId="1623" priority="40" stopIfTrue="1" operator="notEqual">
      <formula>$P$5</formula>
    </cfRule>
  </conditionalFormatting>
  <conditionalFormatting sqref="O6">
    <cfRule type="cellIs" dxfId="1622" priority="39" stopIfTrue="1" operator="notEqual">
      <formula>$P$6</formula>
    </cfRule>
  </conditionalFormatting>
  <conditionalFormatting sqref="O7">
    <cfRule type="cellIs" dxfId="1621" priority="38" stopIfTrue="1" operator="notEqual">
      <formula>$P$7</formula>
    </cfRule>
  </conditionalFormatting>
  <conditionalFormatting sqref="O8">
    <cfRule type="cellIs" dxfId="1620" priority="37" stopIfTrue="1" operator="notEqual">
      <formula>$P$8</formula>
    </cfRule>
  </conditionalFormatting>
  <conditionalFormatting sqref="O9">
    <cfRule type="cellIs" dxfId="1619" priority="36" stopIfTrue="1" operator="notEqual">
      <formula>$P$9</formula>
    </cfRule>
  </conditionalFormatting>
  <conditionalFormatting sqref="O10">
    <cfRule type="cellIs" dxfId="1618" priority="34" stopIfTrue="1" operator="notEqual">
      <formula>$P$10</formula>
    </cfRule>
    <cfRule type="cellIs" dxfId="1617" priority="35" stopIfTrue="1" operator="greaterThan">
      <formula>$P$10</formula>
    </cfRule>
  </conditionalFormatting>
  <conditionalFormatting sqref="O11">
    <cfRule type="cellIs" dxfId="1616" priority="32" stopIfTrue="1" operator="notEqual">
      <formula>$P$11</formula>
    </cfRule>
    <cfRule type="cellIs" dxfId="1615" priority="33" stopIfTrue="1" operator="greaterThan">
      <formula>$P$11</formula>
    </cfRule>
  </conditionalFormatting>
  <conditionalFormatting sqref="O12">
    <cfRule type="cellIs" dxfId="1614" priority="31" stopIfTrue="1" operator="notEqual">
      <formula>$P$12</formula>
    </cfRule>
  </conditionalFormatting>
  <conditionalFormatting sqref="O14">
    <cfRule type="cellIs" dxfId="1613" priority="30" stopIfTrue="1" operator="notEqual">
      <formula>$P$14</formula>
    </cfRule>
  </conditionalFormatting>
  <conditionalFormatting sqref="O15">
    <cfRule type="cellIs" dxfId="1612" priority="29" stopIfTrue="1" operator="notEqual">
      <formula>$P$15</formula>
    </cfRule>
  </conditionalFormatting>
  <conditionalFormatting sqref="O16">
    <cfRule type="cellIs" dxfId="1611" priority="28" stopIfTrue="1" operator="notEqual">
      <formula>$P$16</formula>
    </cfRule>
  </conditionalFormatting>
  <conditionalFormatting sqref="O17">
    <cfRule type="cellIs" dxfId="1610" priority="27" stopIfTrue="1" operator="notEqual">
      <formula>$P$17</formula>
    </cfRule>
  </conditionalFormatting>
  <conditionalFormatting sqref="O18">
    <cfRule type="cellIs" dxfId="1609" priority="26" stopIfTrue="1" operator="notEqual">
      <formula>$P$18</formula>
    </cfRule>
  </conditionalFormatting>
  <conditionalFormatting sqref="O19">
    <cfRule type="cellIs" dxfId="1608" priority="24" stopIfTrue="1" operator="notEqual">
      <formula>$P$19</formula>
    </cfRule>
    <cfRule type="cellIs" dxfId="1607" priority="25" stopIfTrue="1" operator="greaterThan">
      <formula>$P$19</formula>
    </cfRule>
  </conditionalFormatting>
  <conditionalFormatting sqref="O20">
    <cfRule type="cellIs" dxfId="1606" priority="22" stopIfTrue="1" operator="notEqual">
      <formula>$P$20</formula>
    </cfRule>
    <cfRule type="cellIs" dxfId="1605" priority="23" stopIfTrue="1" operator="greaterThan">
      <formula>$P$20</formula>
    </cfRule>
  </conditionalFormatting>
  <conditionalFormatting sqref="O21">
    <cfRule type="cellIs" dxfId="1604" priority="21" stopIfTrue="1" operator="notEqual">
      <formula>$P$21</formula>
    </cfRule>
  </conditionalFormatting>
  <conditionalFormatting sqref="O22">
    <cfRule type="cellIs" dxfId="1603" priority="20" stopIfTrue="1" operator="notEqual">
      <formula>$P$22</formula>
    </cfRule>
  </conditionalFormatting>
  <conditionalFormatting sqref="O23">
    <cfRule type="cellIs" dxfId="1602" priority="19" stopIfTrue="1" operator="notEqual">
      <formula>$P$23</formula>
    </cfRule>
  </conditionalFormatting>
  <conditionalFormatting sqref="O24">
    <cfRule type="cellIs" dxfId="1601" priority="17" stopIfTrue="1" operator="notEqual">
      <formula>$P$24</formula>
    </cfRule>
    <cfRule type="cellIs" dxfId="1600" priority="18" stopIfTrue="1" operator="greaterThan">
      <formula>$P$24</formula>
    </cfRule>
  </conditionalFormatting>
  <conditionalFormatting sqref="O25">
    <cfRule type="cellIs" dxfId="1599" priority="15" stopIfTrue="1" operator="notEqual">
      <formula>$P$25</formula>
    </cfRule>
    <cfRule type="cellIs" dxfId="1598" priority="16" stopIfTrue="1" operator="greaterThan">
      <formula>$P$25</formula>
    </cfRule>
  </conditionalFormatting>
  <conditionalFormatting sqref="O26">
    <cfRule type="cellIs" dxfId="1597" priority="14" stopIfTrue="1" operator="notEqual">
      <formula>$P$26</formula>
    </cfRule>
  </conditionalFormatting>
  <conditionalFormatting sqref="O27">
    <cfRule type="cellIs" dxfId="1596" priority="13" stopIfTrue="1" operator="notEqual">
      <formula>$P$27</formula>
    </cfRule>
  </conditionalFormatting>
  <conditionalFormatting sqref="O28">
    <cfRule type="cellIs" dxfId="1595" priority="12" stopIfTrue="1" operator="notEqual">
      <formula>$P$28</formula>
    </cfRule>
  </conditionalFormatting>
  <conditionalFormatting sqref="O29">
    <cfRule type="cellIs" dxfId="1594" priority="11" stopIfTrue="1" operator="notEqual">
      <formula>$P$29</formula>
    </cfRule>
  </conditionalFormatting>
  <conditionalFormatting sqref="O30">
    <cfRule type="cellIs" dxfId="1593" priority="10" stopIfTrue="1" operator="notEqual">
      <formula>$P$30</formula>
    </cfRule>
  </conditionalFormatting>
  <conditionalFormatting sqref="O31">
    <cfRule type="cellIs" dxfId="1592" priority="8" stopIfTrue="1" operator="notEqual">
      <formula>$P$31</formula>
    </cfRule>
    <cfRule type="cellIs" dxfId="1591" priority="9" stopIfTrue="1" operator="greaterThan">
      <formula>$P$31</formula>
    </cfRule>
  </conditionalFormatting>
  <conditionalFormatting sqref="O32">
    <cfRule type="cellIs" dxfId="1590" priority="6" stopIfTrue="1" operator="notEqual">
      <formula>$P$32</formula>
    </cfRule>
    <cfRule type="cellIs" dxfId="1589" priority="7" stopIfTrue="1" operator="greaterThan">
      <formula>$P$32</formula>
    </cfRule>
  </conditionalFormatting>
  <conditionalFormatting sqref="O33">
    <cfRule type="cellIs" dxfId="1588" priority="5" stopIfTrue="1" operator="notEqual">
      <formula>$P$33</formula>
    </cfRule>
  </conditionalFormatting>
  <conditionalFormatting sqref="O13">
    <cfRule type="cellIs" dxfId="1587" priority="4" stopIfTrue="1" operator="notEqual">
      <formula>$P$13</formula>
    </cfRule>
  </conditionalFormatting>
  <conditionalFormatting sqref="AG3:AG34">
    <cfRule type="cellIs" dxfId="1586" priority="3" stopIfTrue="1" operator="notEqual">
      <formula>E3</formula>
    </cfRule>
  </conditionalFormatting>
  <conditionalFormatting sqref="AH3:AH34">
    <cfRule type="cellIs" dxfId="1585" priority="2" stopIfTrue="1" operator="notBetween">
      <formula>AI3+$AG$40</formula>
      <formula>AI3-$AG$40</formula>
    </cfRule>
  </conditionalFormatting>
  <conditionalFormatting sqref="AL3:AL33">
    <cfRule type="cellIs" dxfId="15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24"/>
  <sheetViews>
    <sheetView workbookViewId="0">
      <selection activeCell="A6" sqref="A6"/>
    </sheetView>
  </sheetViews>
  <sheetFormatPr baseColWidth="10" defaultRowHeight="12.75" x14ac:dyDescent="0.2"/>
  <cols>
    <col min="1" max="1" width="30.28515625" bestFit="1" customWidth="1"/>
    <col min="7" max="7" width="30.28515625" bestFit="1" customWidth="1"/>
    <col min="12" max="12" width="12.28515625" bestFit="1" customWidth="1"/>
    <col min="28" max="28" width="24.85546875" bestFit="1" customWidth="1"/>
    <col min="29" max="29" width="24.85546875" customWidth="1"/>
  </cols>
  <sheetData>
    <row r="2" spans="1:49" ht="13.5" thickBot="1" x14ac:dyDescent="0.25"/>
    <row r="3" spans="1:49" x14ac:dyDescent="0.2">
      <c r="A3" s="668" t="s">
        <v>266</v>
      </c>
      <c r="E3" s="302">
        <v>87</v>
      </c>
      <c r="G3" s="751" t="s">
        <v>282</v>
      </c>
      <c r="H3" s="752" t="s">
        <v>283</v>
      </c>
      <c r="I3" s="752" t="s">
        <v>284</v>
      </c>
      <c r="J3" s="753" t="s">
        <v>285</v>
      </c>
      <c r="L3" s="668" t="s">
        <v>266</v>
      </c>
      <c r="M3" s="668" t="s">
        <v>266</v>
      </c>
      <c r="N3" s="668" t="s">
        <v>267</v>
      </c>
      <c r="O3" s="668" t="s">
        <v>267</v>
      </c>
      <c r="P3" s="668" t="s">
        <v>247</v>
      </c>
      <c r="Q3" s="668" t="s">
        <v>247</v>
      </c>
      <c r="R3" s="668" t="s">
        <v>248</v>
      </c>
      <c r="S3" s="668" t="s">
        <v>248</v>
      </c>
      <c r="T3" s="668" t="s">
        <v>268</v>
      </c>
      <c r="U3" s="668" t="s">
        <v>268</v>
      </c>
      <c r="V3" s="668" t="s">
        <v>250</v>
      </c>
      <c r="W3" s="668" t="s">
        <v>250</v>
      </c>
      <c r="X3" s="668" t="s">
        <v>251</v>
      </c>
      <c r="Y3" s="668" t="s">
        <v>251</v>
      </c>
      <c r="Z3" s="668" t="s">
        <v>269</v>
      </c>
      <c r="AA3" s="668" t="s">
        <v>269</v>
      </c>
      <c r="AB3" s="668" t="s">
        <v>270</v>
      </c>
      <c r="AC3" s="668" t="s">
        <v>270</v>
      </c>
      <c r="AD3" s="668" t="s">
        <v>254</v>
      </c>
      <c r="AE3" s="668" t="s">
        <v>254</v>
      </c>
      <c r="AF3" s="668" t="s">
        <v>255</v>
      </c>
      <c r="AG3" s="668" t="s">
        <v>255</v>
      </c>
      <c r="AH3" s="668" t="s">
        <v>256</v>
      </c>
      <c r="AI3" s="668" t="s">
        <v>256</v>
      </c>
      <c r="AJ3" s="668" t="s">
        <v>271</v>
      </c>
      <c r="AK3" s="668" t="s">
        <v>271</v>
      </c>
      <c r="AL3" s="668" t="s">
        <v>258</v>
      </c>
      <c r="AM3" s="668" t="s">
        <v>258</v>
      </c>
      <c r="AN3" s="668" t="s">
        <v>272</v>
      </c>
      <c r="AO3" s="668" t="s">
        <v>272</v>
      </c>
      <c r="AP3" s="668" t="s">
        <v>274</v>
      </c>
      <c r="AQ3" s="668" t="s">
        <v>274</v>
      </c>
      <c r="AR3" s="668" t="s">
        <v>273</v>
      </c>
      <c r="AS3" s="668" t="s">
        <v>273</v>
      </c>
      <c r="AT3" s="668" t="s">
        <v>275</v>
      </c>
      <c r="AU3" s="668" t="s">
        <v>275</v>
      </c>
      <c r="AV3" s="668" t="s">
        <v>276</v>
      </c>
      <c r="AW3" s="668" t="s">
        <v>276</v>
      </c>
    </row>
    <row r="4" spans="1:49" ht="13.5" thickBot="1" x14ac:dyDescent="0.25">
      <c r="B4" s="750">
        <v>1</v>
      </c>
      <c r="C4" s="750">
        <v>3.283541</v>
      </c>
      <c r="D4" s="750">
        <v>5.3381999999999999E-2</v>
      </c>
      <c r="G4" s="754"/>
      <c r="H4" s="755"/>
      <c r="I4" s="755"/>
      <c r="J4" s="756"/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  <c r="AS4">
        <v>45</v>
      </c>
      <c r="AT4">
        <v>46</v>
      </c>
      <c r="AU4">
        <v>47</v>
      </c>
      <c r="AV4">
        <v>48</v>
      </c>
      <c r="AW4">
        <v>49</v>
      </c>
    </row>
    <row r="5" spans="1:49" x14ac:dyDescent="0.2">
      <c r="G5" s="668" t="s">
        <v>266</v>
      </c>
      <c r="H5" s="757">
        <f>'Facturacion Tarifas'!BB40</f>
        <v>0.96806451612903233</v>
      </c>
      <c r="I5" s="758" t="e">
        <f ca="1">INDIRECT(+ADDRESS(ROW(G5),HLOOKUP(G5,$L$3:$AW$4,2,0)))</f>
        <v>#N/A</v>
      </c>
      <c r="J5" s="758">
        <f ca="1">INDIRECT(+ADDRESS(ROW(G5),HLOOKUP(G5,$L$3:$AW$4,2,1)))</f>
        <v>0.1048</v>
      </c>
      <c r="L5" t="e">
        <f>+VLOOKUP(H5,Valchem,2)</f>
        <v>#N/A</v>
      </c>
      <c r="M5" t="e">
        <f>+VLOOKUP(H5,Valchem,3)</f>
        <v>#N/A</v>
      </c>
      <c r="N5" t="e">
        <f>+VLOOKUP(H6,TextilesROMATEX,2)</f>
        <v>#N/A</v>
      </c>
      <c r="O5" t="e">
        <f>+VLOOKUP(H6,TextilesROMATEX,3)</f>
        <v>#N/A</v>
      </c>
      <c r="P5" t="e">
        <f>VLOOKUP(H7,PROESA,2)</f>
        <v>#N/A</v>
      </c>
      <c r="Q5" t="e">
        <f>VLOOKUP(H7,PROESA,3)</f>
        <v>#N/A</v>
      </c>
      <c r="R5" t="e">
        <f>VLOOKUP(H8,TOTIS,2)</f>
        <v>#N/A</v>
      </c>
      <c r="S5" t="e">
        <f>VLOOKUP(H8,TOTIS,3)</f>
        <v>#N/A</v>
      </c>
      <c r="T5">
        <f>VLOOKUP(H9,Valchem,2)</f>
        <v>3.283541</v>
      </c>
      <c r="U5">
        <f>VLOOKUP(H9,TEXSA,3)</f>
        <v>5.2600000000000001E-2</v>
      </c>
      <c r="V5" t="e">
        <f>VLOOKUP(H10,VUVA,2)</f>
        <v>#N/A</v>
      </c>
      <c r="W5" t="e">
        <f>VLOOKUP(H10,VUVA,3)</f>
        <v>#N/A</v>
      </c>
      <c r="X5" t="e">
        <f>VLOOKUP(H11,QUIMICA,2)</f>
        <v>#N/A</v>
      </c>
      <c r="Y5" t="e">
        <f>VLOOKUP(H11,QUIMICA,3)</f>
        <v>#N/A</v>
      </c>
      <c r="Z5">
        <f>VLOOKUP(H12,Espumas,2)</f>
        <v>1.244</v>
      </c>
      <c r="AA5">
        <f>VLOOKUP(H12,Espumas,3)</f>
        <v>5.0900000000000001E-2</v>
      </c>
      <c r="AB5">
        <f>VLOOKUP(H13,Textiles,2)</f>
        <v>2.9089999999999998</v>
      </c>
      <c r="AC5">
        <f>VLOOKUP(H13,Textiles,3)</f>
        <v>0.52649999999999997</v>
      </c>
      <c r="AD5">
        <f>VLOOKUP(H14,PRUP,2)</f>
        <v>0.82509999999999994</v>
      </c>
      <c r="AE5">
        <f>VLOOKUP(H14,PRUP,3)</f>
        <v>5.0900000000000001E-2</v>
      </c>
      <c r="AF5">
        <f>VLOOKUP(H15,MEXCOAT,2)</f>
        <v>3.0762999999999998</v>
      </c>
      <c r="AG5">
        <f>VLOOKUP(H15,MEXCOAT,3)</f>
        <v>4.9799999999999997E-2</v>
      </c>
      <c r="AH5">
        <f>VLOOKUP(H16,PREMEX,2)</f>
        <v>3.0234999999999999</v>
      </c>
      <c r="AI5">
        <f>VLOOKUP(H16,PREMEX,3)</f>
        <v>4.8399999999999999E-2</v>
      </c>
      <c r="AJ5">
        <f>VLOOKUP(H17,Comercializadora,2)</f>
        <v>0.91439999999999999</v>
      </c>
      <c r="AK5">
        <f>VLOOKUP(H17,Comercializadora,3)</f>
        <v>0.10630000000000001</v>
      </c>
      <c r="AL5">
        <f>VLOOKUP(H18,FENO,2)</f>
        <v>0.74419999999999997</v>
      </c>
      <c r="AM5">
        <f>VLOOKUP(H18,FENO,3)</f>
        <v>0.10630000000000001</v>
      </c>
      <c r="AN5">
        <f>VLOOKUP(H19,TEJIMAQ,2)</f>
        <v>2.8549000000000002</v>
      </c>
      <c r="AO5">
        <f>VLOOKUP(H19,TEJIMAQ,3)</f>
        <v>0.10630000000000001</v>
      </c>
      <c r="AP5">
        <f>VLOOKUP(H20,MOLIENDAS,2)</f>
        <v>3.2682000000000002</v>
      </c>
      <c r="AQ5">
        <f>VLOOKUP(H20,MOLIENDAS,3)</f>
        <v>0.1048</v>
      </c>
      <c r="AR5">
        <f>VLOOKUP(H21,TECAMAC,2)</f>
        <v>3.6453000000000002</v>
      </c>
      <c r="AS5">
        <f>VLOOKUP(H21,TECAMAC,3)</f>
        <v>0.1048</v>
      </c>
      <c r="AT5">
        <f>VLOOKUP(H22,ZINC,2)</f>
        <v>1.3303</v>
      </c>
      <c r="AU5">
        <f>VLOOKUP(H22,ZINC,3)</f>
        <v>0.1048</v>
      </c>
      <c r="AV5">
        <f>VLOOKUP(H23,IMPERQUIMIA,2)</f>
        <v>1.0794999999999999</v>
      </c>
      <c r="AW5">
        <f>VLOOKUP(H23,IMPERQUIMIA,3)</f>
        <v>0.1017</v>
      </c>
    </row>
    <row r="6" spans="1:49" x14ac:dyDescent="0.2">
      <c r="A6" s="668" t="s">
        <v>267</v>
      </c>
      <c r="E6" s="302">
        <v>89</v>
      </c>
      <c r="G6" s="668" t="s">
        <v>267</v>
      </c>
      <c r="H6" s="757">
        <f>'Facturacion Tarifas'!BB4</f>
        <v>127.6800002096041</v>
      </c>
      <c r="I6" s="758">
        <f ca="1">INDIRECT(+ADDRESS(ROW(G6),HLOOKUP(G6,$L$3:$V$4,2,15)))</f>
        <v>0</v>
      </c>
      <c r="J6" s="759">
        <f ca="1">INDIRECT(+ADDRESS(ROW(G6),HLOOKUP(G6,$L$3:$V$4,2,1)))</f>
        <v>0</v>
      </c>
    </row>
    <row r="7" spans="1:49" x14ac:dyDescent="0.2">
      <c r="B7" s="750">
        <v>10000</v>
      </c>
      <c r="C7" s="750">
        <v>1.334775</v>
      </c>
      <c r="D7" s="750">
        <v>5.3381999999999999E-2</v>
      </c>
      <c r="G7" s="668" t="s">
        <v>247</v>
      </c>
      <c r="H7" s="757">
        <f>'Facturacion Tarifas'!BB5</f>
        <v>30.267661589472123</v>
      </c>
      <c r="I7" s="758">
        <f ca="1">INDIRECT(+ADDRESS(ROW(G7),HLOOKUP(G7,$L$3:$V$4,2,0)))</f>
        <v>0</v>
      </c>
      <c r="J7" s="759">
        <f ca="1">INDIRECT(+ADDRESS(ROW(G7),HLOOKUP(G7,$L$3:$V$4,2,1)))</f>
        <v>0</v>
      </c>
    </row>
    <row r="8" spans="1:49" x14ac:dyDescent="0.2">
      <c r="G8" s="668" t="s">
        <v>248</v>
      </c>
      <c r="H8">
        <f>'Facturacion Tarifas'!BB6</f>
        <v>83.444929852281746</v>
      </c>
      <c r="I8" s="758">
        <f t="shared" ref="I8:I23" ca="1" si="0">INDIRECT(+ADDRESS(ROW(G8),HLOOKUP(G8,$L$3:$V$4,2,0)))</f>
        <v>0</v>
      </c>
      <c r="J8" s="759">
        <f t="shared" ref="J8:J23" ca="1" si="1">INDIRECT(+ADDRESS(ROW(G8),HLOOKUP(G8,$L$3:$V$4,2,1)))</f>
        <v>0</v>
      </c>
    </row>
    <row r="9" spans="1:49" x14ac:dyDescent="0.2">
      <c r="A9" s="668" t="s">
        <v>247</v>
      </c>
      <c r="E9" s="302">
        <v>91</v>
      </c>
      <c r="G9" s="668" t="s">
        <v>268</v>
      </c>
      <c r="H9">
        <f>'Facturacion Tarifas'!BB7</f>
        <v>66.96666518340983</v>
      </c>
      <c r="I9" s="758">
        <f t="shared" ca="1" si="0"/>
        <v>0</v>
      </c>
      <c r="J9" s="759">
        <f t="shared" ca="1" si="1"/>
        <v>0</v>
      </c>
    </row>
    <row r="10" spans="1:49" x14ac:dyDescent="0.2">
      <c r="B10" s="750">
        <v>10000</v>
      </c>
      <c r="C10" s="750">
        <v>2.7117140000000002</v>
      </c>
      <c r="D10" s="750">
        <v>5.2630999999999997E-2</v>
      </c>
      <c r="G10" s="668" t="s">
        <v>250</v>
      </c>
      <c r="H10">
        <f>'Facturacion Tarifas'!BB8</f>
        <v>268.83965682029253</v>
      </c>
      <c r="I10" s="758">
        <f t="shared" ca="1" si="0"/>
        <v>0</v>
      </c>
      <c r="J10" s="759">
        <f t="shared" ca="1" si="1"/>
        <v>0</v>
      </c>
    </row>
    <row r="11" spans="1:49" x14ac:dyDescent="0.2">
      <c r="G11" s="668" t="s">
        <v>251</v>
      </c>
      <c r="H11">
        <f>'Facturacion Tarifas'!BB9</f>
        <v>34.847842902999346</v>
      </c>
      <c r="I11" s="758" t="e">
        <f t="shared" ca="1" si="0"/>
        <v>#N/A</v>
      </c>
      <c r="J11" s="759">
        <f t="shared" ca="1" si="1"/>
        <v>0</v>
      </c>
    </row>
    <row r="12" spans="1:49" x14ac:dyDescent="0.2">
      <c r="A12" s="668" t="s">
        <v>248</v>
      </c>
      <c r="E12" s="302">
        <v>93</v>
      </c>
      <c r="G12" s="668" t="s">
        <v>269</v>
      </c>
      <c r="H12">
        <f>'Facturacion Tarifas'!BB10</f>
        <v>324.61139316887488</v>
      </c>
      <c r="I12" s="758" t="e">
        <f t="shared" ca="1" si="0"/>
        <v>#N/A</v>
      </c>
      <c r="J12" s="759" t="e">
        <f t="shared" ca="1" si="1"/>
        <v>#N/A</v>
      </c>
    </row>
    <row r="13" spans="1:49" x14ac:dyDescent="0.2">
      <c r="B13" s="750">
        <v>10000</v>
      </c>
      <c r="C13" s="750">
        <v>3.238226</v>
      </c>
      <c r="D13" s="750">
        <v>5.2630999999999997E-2</v>
      </c>
      <c r="G13" s="668" t="s">
        <v>270</v>
      </c>
      <c r="H13">
        <f>'Facturacion Tarifas'!BB11</f>
        <v>28.108463864210627</v>
      </c>
      <c r="I13" s="758" t="e">
        <f t="shared" ca="1" si="0"/>
        <v>#N/A</v>
      </c>
      <c r="J13" s="759">
        <f t="shared" ca="1" si="1"/>
        <v>0</v>
      </c>
    </row>
    <row r="14" spans="1:49" x14ac:dyDescent="0.2">
      <c r="G14" s="668" t="s">
        <v>254</v>
      </c>
      <c r="H14">
        <f>'Facturacion Tarifas'!BB12</f>
        <v>571.11674960736696</v>
      </c>
      <c r="I14" s="758" t="e">
        <f t="shared" ca="1" si="0"/>
        <v>#N/A</v>
      </c>
      <c r="J14" s="759">
        <f t="shared" ca="1" si="1"/>
        <v>0</v>
      </c>
    </row>
    <row r="15" spans="1:49" x14ac:dyDescent="0.2">
      <c r="A15" s="668" t="s">
        <v>268</v>
      </c>
      <c r="E15" s="302">
        <v>95</v>
      </c>
      <c r="G15" s="668" t="s">
        <v>255</v>
      </c>
      <c r="H15">
        <f>'Facturacion Tarifas'!BB13</f>
        <v>42.339894499917484</v>
      </c>
      <c r="I15" s="758" t="e">
        <f t="shared" ca="1" si="0"/>
        <v>#N/A</v>
      </c>
      <c r="J15" s="759" t="e">
        <f t="shared" ca="1" si="1"/>
        <v>#N/A</v>
      </c>
    </row>
    <row r="16" spans="1:49" x14ac:dyDescent="0.2">
      <c r="B16" s="750">
        <v>1</v>
      </c>
      <c r="C16" s="750">
        <v>3.2382</v>
      </c>
      <c r="D16" s="750">
        <v>5.2600000000000001E-2</v>
      </c>
      <c r="G16" s="668" t="s">
        <v>256</v>
      </c>
      <c r="H16">
        <f>'Facturacion Tarifas'!BB14</f>
        <v>8.3110539610434024</v>
      </c>
      <c r="I16" s="758" t="e">
        <f t="shared" ca="1" si="0"/>
        <v>#N/A</v>
      </c>
      <c r="J16" s="759" t="e">
        <f t="shared" ca="1" si="1"/>
        <v>#N/A</v>
      </c>
    </row>
    <row r="17" spans="1:10" x14ac:dyDescent="0.2">
      <c r="B17" s="750">
        <v>51</v>
      </c>
      <c r="C17" s="750">
        <v>2.8978999999999999</v>
      </c>
      <c r="D17" s="750">
        <v>5.2600000000000001E-2</v>
      </c>
      <c r="G17" s="668" t="s">
        <v>271</v>
      </c>
      <c r="H17">
        <f>'Facturacion Tarifas'!BB15</f>
        <v>344.68706167130273</v>
      </c>
      <c r="I17" s="758" t="e">
        <f t="shared" ca="1" si="0"/>
        <v>#N/A</v>
      </c>
      <c r="J17" s="759" t="e">
        <f t="shared" ca="1" si="1"/>
        <v>#N/A</v>
      </c>
    </row>
    <row r="18" spans="1:10" x14ac:dyDescent="0.2">
      <c r="B18" s="750">
        <v>101</v>
      </c>
      <c r="C18" s="750">
        <v>2.7012</v>
      </c>
      <c r="D18" s="750">
        <v>5.2600000000000001E-2</v>
      </c>
      <c r="G18" s="668" t="s">
        <v>258</v>
      </c>
      <c r="H18">
        <f>'Facturacion Tarifas'!BB16</f>
        <v>245.6292823335981</v>
      </c>
      <c r="I18" s="758" t="e">
        <f t="shared" ca="1" si="0"/>
        <v>#N/A</v>
      </c>
      <c r="J18" s="759" t="e">
        <f t="shared" ca="1" si="1"/>
        <v>#N/A</v>
      </c>
    </row>
    <row r="19" spans="1:10" x14ac:dyDescent="0.2">
      <c r="G19" s="668" t="s">
        <v>272</v>
      </c>
      <c r="H19">
        <f>'Facturacion Tarifas'!BB17</f>
        <v>72.82125895507231</v>
      </c>
      <c r="I19" s="758" t="e">
        <f t="shared" ca="1" si="0"/>
        <v>#N/A</v>
      </c>
      <c r="J19" s="759">
        <f t="shared" ca="1" si="1"/>
        <v>0</v>
      </c>
    </row>
    <row r="20" spans="1:10" x14ac:dyDescent="0.2">
      <c r="A20" s="668" t="s">
        <v>250</v>
      </c>
      <c r="E20" s="302">
        <v>99</v>
      </c>
      <c r="G20" s="668" t="s">
        <v>274</v>
      </c>
      <c r="H20">
        <f>'Facturacion Tarifas'!BB18</f>
        <v>7.995647264937114</v>
      </c>
      <c r="I20" s="758" t="e">
        <f t="shared" ca="1" si="0"/>
        <v>#N/A</v>
      </c>
      <c r="J20" s="759" t="e">
        <f t="shared" ca="1" si="1"/>
        <v>#N/A</v>
      </c>
    </row>
    <row r="21" spans="1:10" x14ac:dyDescent="0.2">
      <c r="B21" s="750">
        <v>10000</v>
      </c>
      <c r="C21" s="750">
        <v>1.3163560000000001</v>
      </c>
      <c r="D21" s="750">
        <v>5.2630999999999997E-2</v>
      </c>
      <c r="G21" s="668" t="s">
        <v>273</v>
      </c>
      <c r="H21">
        <f>'Facturacion Tarifas'!BB19</f>
        <v>30.280836339644559</v>
      </c>
      <c r="I21" s="758" t="e">
        <f t="shared" ca="1" si="0"/>
        <v>#N/A</v>
      </c>
      <c r="J21" s="759">
        <f t="shared" ca="1" si="1"/>
        <v>0</v>
      </c>
    </row>
    <row r="22" spans="1:10" x14ac:dyDescent="0.2">
      <c r="G22" s="668" t="s">
        <v>275</v>
      </c>
      <c r="H22">
        <f>'Facturacion Tarifas'!BB20</f>
        <v>197.67548281598741</v>
      </c>
      <c r="I22" s="758" t="e">
        <f t="shared" ca="1" si="0"/>
        <v>#N/A</v>
      </c>
      <c r="J22" s="759">
        <f t="shared" ca="1" si="1"/>
        <v>0</v>
      </c>
    </row>
    <row r="23" spans="1:10" x14ac:dyDescent="0.2">
      <c r="A23" s="668" t="s">
        <v>251</v>
      </c>
      <c r="E23" s="302">
        <v>101</v>
      </c>
      <c r="G23" s="668" t="s">
        <v>276</v>
      </c>
      <c r="H23">
        <f>'Facturacion Tarifas'!BB21</f>
        <v>112.64592810659552</v>
      </c>
      <c r="I23" s="758" t="e">
        <f t="shared" ca="1" si="0"/>
        <v>#N/A</v>
      </c>
      <c r="J23" s="759" t="e">
        <f t="shared" ca="1" si="1"/>
        <v>#N/A</v>
      </c>
    </row>
    <row r="24" spans="1:10" x14ac:dyDescent="0.2">
      <c r="B24" s="750">
        <v>10000</v>
      </c>
      <c r="C24" s="750">
        <v>3.238226</v>
      </c>
      <c r="D24" s="750">
        <v>5.2630999999999997E-2</v>
      </c>
    </row>
    <row r="26" spans="1:10" x14ac:dyDescent="0.2">
      <c r="A26" s="668" t="s">
        <v>269</v>
      </c>
      <c r="E26" s="325">
        <v>105</v>
      </c>
    </row>
    <row r="27" spans="1:10" x14ac:dyDescent="0.2">
      <c r="B27" s="750">
        <v>0</v>
      </c>
      <c r="C27" s="750">
        <v>3.1227</v>
      </c>
      <c r="D27" s="750">
        <v>5.0900000000000001E-2</v>
      </c>
    </row>
    <row r="28" spans="1:10" x14ac:dyDescent="0.2">
      <c r="B28" s="750">
        <v>51</v>
      </c>
      <c r="C28" s="750">
        <v>2.8052999999999999</v>
      </c>
      <c r="D28" s="750">
        <v>5.0900000000000001E-2</v>
      </c>
    </row>
    <row r="29" spans="1:10" x14ac:dyDescent="0.2">
      <c r="B29" s="750">
        <v>101</v>
      </c>
      <c r="C29" s="750">
        <v>2.6150000000000002</v>
      </c>
      <c r="D29" s="750">
        <v>5.0900000000000001E-2</v>
      </c>
    </row>
    <row r="30" spans="1:10" x14ac:dyDescent="0.2">
      <c r="B30" s="750">
        <v>201</v>
      </c>
      <c r="C30" s="750">
        <v>1.6503000000000001</v>
      </c>
      <c r="D30" s="750">
        <v>5.0900000000000001E-2</v>
      </c>
    </row>
    <row r="31" spans="1:10" x14ac:dyDescent="0.2">
      <c r="B31" s="750">
        <v>301</v>
      </c>
      <c r="C31" s="750">
        <v>1.244</v>
      </c>
      <c r="D31" s="750">
        <v>5.0900000000000001E-2</v>
      </c>
    </row>
    <row r="32" spans="1:10" x14ac:dyDescent="0.2">
      <c r="B32" s="750">
        <v>401</v>
      </c>
      <c r="C32" s="750">
        <v>0.99019999999999997</v>
      </c>
      <c r="D32" s="750">
        <v>5.0900000000000001E-2</v>
      </c>
    </row>
    <row r="33" spans="1:5" x14ac:dyDescent="0.2">
      <c r="B33" s="750">
        <v>501</v>
      </c>
      <c r="C33" s="750">
        <v>0.82509999999999994</v>
      </c>
      <c r="D33" s="750">
        <v>5.0900000000000001E-2</v>
      </c>
    </row>
    <row r="34" spans="1:5" x14ac:dyDescent="0.2">
      <c r="B34" s="750">
        <v>601</v>
      </c>
      <c r="C34" s="750">
        <v>0.71089999999999998</v>
      </c>
      <c r="D34" s="750">
        <v>5.0900000000000001E-2</v>
      </c>
    </row>
    <row r="35" spans="1:5" x14ac:dyDescent="0.2">
      <c r="B35" s="750">
        <v>701</v>
      </c>
      <c r="C35" s="750">
        <v>0.622</v>
      </c>
      <c r="D35" s="750">
        <v>5.0900000000000001E-2</v>
      </c>
    </row>
    <row r="36" spans="1:5" x14ac:dyDescent="0.2">
      <c r="B36" s="750">
        <v>801</v>
      </c>
      <c r="C36" s="750">
        <v>0.5585</v>
      </c>
      <c r="D36" s="750">
        <v>5.0900000000000001E-2</v>
      </c>
    </row>
    <row r="37" spans="1:5" x14ac:dyDescent="0.2">
      <c r="B37" s="750">
        <v>901</v>
      </c>
      <c r="C37" s="750">
        <v>0.49509999999999998</v>
      </c>
      <c r="D37" s="750">
        <v>5.0900000000000001E-2</v>
      </c>
    </row>
    <row r="38" spans="1:5" x14ac:dyDescent="0.2">
      <c r="B38" s="750">
        <v>1001</v>
      </c>
      <c r="C38" s="750">
        <v>0.40620000000000001</v>
      </c>
      <c r="D38" s="750">
        <v>5.0900000000000001E-2</v>
      </c>
    </row>
    <row r="39" spans="1:5" x14ac:dyDescent="0.2">
      <c r="B39" s="750">
        <v>1201</v>
      </c>
      <c r="C39" s="750">
        <v>0.35539999999999999</v>
      </c>
      <c r="D39" s="750">
        <v>5.0900000000000001E-2</v>
      </c>
    </row>
    <row r="40" spans="1:5" x14ac:dyDescent="0.2">
      <c r="B40" s="750">
        <v>1401</v>
      </c>
      <c r="C40" s="750">
        <v>0.30459999999999998</v>
      </c>
      <c r="D40" s="750">
        <v>5.0900000000000001E-2</v>
      </c>
    </row>
    <row r="42" spans="1:5" x14ac:dyDescent="0.2">
      <c r="A42" s="668" t="s">
        <v>270</v>
      </c>
      <c r="E42" s="325">
        <v>107</v>
      </c>
    </row>
    <row r="43" spans="1:5" x14ac:dyDescent="0.2">
      <c r="B43" s="750">
        <v>1</v>
      </c>
      <c r="C43" s="750">
        <v>2.9089999999999998</v>
      </c>
      <c r="D43" s="750">
        <v>0.52649999999999997</v>
      </c>
    </row>
    <row r="44" spans="1:5" x14ac:dyDescent="0.2">
      <c r="B44" s="750">
        <v>51</v>
      </c>
      <c r="C44" s="750">
        <v>2.7118000000000002</v>
      </c>
      <c r="D44" s="750">
        <v>0.52649999999999997</v>
      </c>
    </row>
    <row r="46" spans="1:5" x14ac:dyDescent="0.2">
      <c r="A46" s="668" t="s">
        <v>254</v>
      </c>
      <c r="E46" s="325">
        <v>129</v>
      </c>
    </row>
    <row r="47" spans="1:5" x14ac:dyDescent="0.2">
      <c r="B47" s="750">
        <v>0</v>
      </c>
      <c r="C47" s="750">
        <v>3.1227</v>
      </c>
      <c r="D47" s="750">
        <v>5.0900000000000001E-2</v>
      </c>
    </row>
    <row r="48" spans="1:5" x14ac:dyDescent="0.2">
      <c r="B48" s="750">
        <v>51</v>
      </c>
      <c r="C48" s="750">
        <v>2.8052999999999999</v>
      </c>
      <c r="D48" s="750">
        <v>5.0900000000000001E-2</v>
      </c>
    </row>
    <row r="49" spans="1:5" x14ac:dyDescent="0.2">
      <c r="B49" s="750">
        <v>101</v>
      </c>
      <c r="C49" s="750">
        <v>2.6150000000000002</v>
      </c>
      <c r="D49" s="750">
        <v>5.0900000000000001E-2</v>
      </c>
    </row>
    <row r="50" spans="1:5" x14ac:dyDescent="0.2">
      <c r="B50" s="750">
        <v>201</v>
      </c>
      <c r="C50" s="750">
        <v>1.6503000000000001</v>
      </c>
      <c r="D50" s="750">
        <v>5.0900000000000001E-2</v>
      </c>
    </row>
    <row r="51" spans="1:5" x14ac:dyDescent="0.2">
      <c r="B51" s="750">
        <v>301</v>
      </c>
      <c r="C51" s="750">
        <v>1.244</v>
      </c>
      <c r="D51" s="750">
        <v>5.0900000000000001E-2</v>
      </c>
    </row>
    <row r="52" spans="1:5" x14ac:dyDescent="0.2">
      <c r="B52" s="750">
        <v>401</v>
      </c>
      <c r="C52" s="750">
        <v>0.99019999999999997</v>
      </c>
      <c r="D52" s="750">
        <v>5.0900000000000001E-2</v>
      </c>
    </row>
    <row r="53" spans="1:5" x14ac:dyDescent="0.2">
      <c r="B53" s="750">
        <v>501</v>
      </c>
      <c r="C53" s="750">
        <v>0.82509999999999994</v>
      </c>
      <c r="D53" s="750">
        <v>5.0900000000000001E-2</v>
      </c>
    </row>
    <row r="54" spans="1:5" x14ac:dyDescent="0.2">
      <c r="B54" s="750">
        <v>601</v>
      </c>
      <c r="C54" s="750">
        <v>0.71089999999999998</v>
      </c>
      <c r="D54" s="750">
        <v>5.0900000000000001E-2</v>
      </c>
    </row>
    <row r="55" spans="1:5" x14ac:dyDescent="0.2">
      <c r="B55" s="750">
        <v>701</v>
      </c>
      <c r="C55" s="750">
        <v>0.622</v>
      </c>
      <c r="D55" s="750">
        <v>5.0900000000000001E-2</v>
      </c>
    </row>
    <row r="56" spans="1:5" x14ac:dyDescent="0.2">
      <c r="B56" s="750">
        <v>801</v>
      </c>
      <c r="C56" s="750">
        <v>0.5585</v>
      </c>
      <c r="D56" s="750">
        <v>5.0900000000000001E-2</v>
      </c>
    </row>
    <row r="57" spans="1:5" x14ac:dyDescent="0.2">
      <c r="B57" s="750">
        <v>901</v>
      </c>
      <c r="C57" s="750">
        <v>0.49509999999999998</v>
      </c>
      <c r="D57" s="750">
        <v>5.0900000000000001E-2</v>
      </c>
    </row>
    <row r="58" spans="1:5" x14ac:dyDescent="0.2">
      <c r="B58" s="750">
        <v>1001</v>
      </c>
      <c r="C58" s="750">
        <v>0.40620000000000001</v>
      </c>
      <c r="D58" s="750">
        <v>5.0900000000000001E-2</v>
      </c>
    </row>
    <row r="59" spans="1:5" x14ac:dyDescent="0.2">
      <c r="B59" s="750">
        <v>1201</v>
      </c>
      <c r="C59" s="750">
        <v>0.35539999999999999</v>
      </c>
      <c r="D59" s="750">
        <v>5.0900000000000001E-2</v>
      </c>
    </row>
    <row r="60" spans="1:5" x14ac:dyDescent="0.2">
      <c r="B60" s="750">
        <v>1401</v>
      </c>
      <c r="C60" s="750">
        <v>0.30459999999999998</v>
      </c>
      <c r="D60" s="750">
        <v>5.0900000000000001E-2</v>
      </c>
    </row>
    <row r="62" spans="1:5" x14ac:dyDescent="0.2">
      <c r="A62" s="668" t="s">
        <v>255</v>
      </c>
      <c r="E62" s="325">
        <v>151</v>
      </c>
    </row>
    <row r="63" spans="1:5" x14ac:dyDescent="0.2">
      <c r="B63" s="750">
        <v>0</v>
      </c>
      <c r="C63" s="750">
        <v>3.0762999999999998</v>
      </c>
      <c r="D63" s="750">
        <v>4.9799999999999997E-2</v>
      </c>
    </row>
    <row r="64" spans="1:5" x14ac:dyDescent="0.2">
      <c r="B64" s="750">
        <v>51</v>
      </c>
      <c r="C64" s="750">
        <v>2.7635000000000001</v>
      </c>
      <c r="D64" s="750">
        <v>4.9799999999999997E-2</v>
      </c>
    </row>
    <row r="65" spans="1:5" x14ac:dyDescent="0.2">
      <c r="B65" s="750">
        <v>81</v>
      </c>
      <c r="C65" s="750">
        <v>2.5760000000000001</v>
      </c>
      <c r="D65" s="750">
        <v>4.9799999999999997E-2</v>
      </c>
    </row>
    <row r="67" spans="1:5" x14ac:dyDescent="0.2">
      <c r="A67" s="668" t="s">
        <v>256</v>
      </c>
      <c r="E67" s="325">
        <v>195</v>
      </c>
    </row>
    <row r="68" spans="1:5" x14ac:dyDescent="0.2">
      <c r="B68" s="750">
        <v>0</v>
      </c>
      <c r="C68" s="750">
        <v>3.0234999999999999</v>
      </c>
      <c r="D68" s="750">
        <v>4.8399999999999999E-2</v>
      </c>
    </row>
    <row r="69" spans="1:5" x14ac:dyDescent="0.2">
      <c r="B69" s="750">
        <v>51</v>
      </c>
      <c r="C69" s="750">
        <v>2.6726999999999999</v>
      </c>
      <c r="D69" s="750">
        <v>4.8399999999999999E-2</v>
      </c>
    </row>
    <row r="70" spans="1:5" x14ac:dyDescent="0.2">
      <c r="B70" s="750">
        <v>81</v>
      </c>
      <c r="C70" s="750">
        <v>2.4912000000000001</v>
      </c>
      <c r="D70" s="750">
        <v>4.8399999999999999E-2</v>
      </c>
    </row>
    <row r="72" spans="1:5" x14ac:dyDescent="0.2">
      <c r="A72" s="668" t="s">
        <v>271</v>
      </c>
      <c r="E72" s="325">
        <v>275</v>
      </c>
    </row>
    <row r="73" spans="1:5" x14ac:dyDescent="0.2">
      <c r="B73" s="750">
        <v>200</v>
      </c>
      <c r="C73" s="750">
        <v>1.4779</v>
      </c>
      <c r="D73" s="750">
        <v>0.10630000000000001</v>
      </c>
    </row>
    <row r="74" spans="1:5" x14ac:dyDescent="0.2">
      <c r="B74" s="750">
        <v>226</v>
      </c>
      <c r="C74" s="750">
        <v>1.3184</v>
      </c>
      <c r="D74" s="750">
        <v>0.10630000000000001</v>
      </c>
    </row>
    <row r="75" spans="1:5" x14ac:dyDescent="0.2">
      <c r="B75" s="750">
        <v>251</v>
      </c>
      <c r="C75" s="750">
        <v>1.1908000000000001</v>
      </c>
      <c r="D75" s="750">
        <v>0.10630000000000001</v>
      </c>
    </row>
    <row r="76" spans="1:5" x14ac:dyDescent="0.2">
      <c r="B76" s="750">
        <v>276</v>
      </c>
      <c r="C76" s="750">
        <v>1.0740000000000001</v>
      </c>
      <c r="D76" s="750">
        <v>0.10630000000000001</v>
      </c>
    </row>
    <row r="77" spans="1:5" x14ac:dyDescent="0.2">
      <c r="B77" s="750">
        <v>301</v>
      </c>
      <c r="C77" s="750">
        <v>0.98880000000000001</v>
      </c>
      <c r="D77" s="750">
        <v>0.10630000000000001</v>
      </c>
    </row>
    <row r="78" spans="1:5" x14ac:dyDescent="0.2">
      <c r="B78" s="750">
        <v>326</v>
      </c>
      <c r="C78" s="750">
        <v>0.91439999999999999</v>
      </c>
      <c r="D78" s="750">
        <v>0.10630000000000001</v>
      </c>
    </row>
    <row r="79" spans="1:5" x14ac:dyDescent="0.2">
      <c r="B79" s="750">
        <v>351</v>
      </c>
      <c r="C79" s="750">
        <v>0.85060000000000002</v>
      </c>
      <c r="D79" s="750">
        <v>0.10630000000000001</v>
      </c>
    </row>
    <row r="80" spans="1:5" x14ac:dyDescent="0.2">
      <c r="B80" s="750">
        <v>376</v>
      </c>
      <c r="C80" s="750">
        <v>0.78680000000000005</v>
      </c>
      <c r="D80" s="750">
        <v>0.10630000000000001</v>
      </c>
    </row>
    <row r="81" spans="1:5" x14ac:dyDescent="0.2">
      <c r="B81" s="750">
        <v>401</v>
      </c>
      <c r="C81" s="750">
        <v>0.74419999999999997</v>
      </c>
      <c r="D81" s="750">
        <v>0.10630000000000001</v>
      </c>
    </row>
    <row r="83" spans="1:5" x14ac:dyDescent="0.2">
      <c r="A83" s="668" t="s">
        <v>258</v>
      </c>
      <c r="E83" s="325">
        <v>277</v>
      </c>
    </row>
    <row r="84" spans="1:5" x14ac:dyDescent="0.2">
      <c r="B84" s="750">
        <v>50</v>
      </c>
      <c r="C84" s="750">
        <v>2.9558</v>
      </c>
      <c r="D84" s="750">
        <v>0.10630000000000001</v>
      </c>
    </row>
    <row r="85" spans="1:5" x14ac:dyDescent="0.2">
      <c r="B85" s="750">
        <v>75</v>
      </c>
      <c r="C85" s="750">
        <v>1.9670000000000001</v>
      </c>
      <c r="D85" s="750">
        <v>0.10630000000000001</v>
      </c>
    </row>
    <row r="86" spans="1:5" x14ac:dyDescent="0.2">
      <c r="B86" s="750">
        <v>100</v>
      </c>
      <c r="C86" s="750">
        <v>1.4779</v>
      </c>
      <c r="D86" s="750">
        <v>0.10630000000000001</v>
      </c>
    </row>
    <row r="87" spans="1:5" x14ac:dyDescent="0.2">
      <c r="B87" s="750">
        <v>125</v>
      </c>
      <c r="C87" s="750">
        <v>1.1801999999999999</v>
      </c>
      <c r="D87" s="750">
        <v>0.10630000000000001</v>
      </c>
    </row>
    <row r="88" spans="1:5" x14ac:dyDescent="0.2">
      <c r="B88" s="750">
        <v>150</v>
      </c>
      <c r="C88" s="750">
        <v>0.98880000000000001</v>
      </c>
      <c r="D88" s="750">
        <v>0.10630000000000001</v>
      </c>
    </row>
    <row r="89" spans="1:5" x14ac:dyDescent="0.2">
      <c r="B89" s="750">
        <v>175</v>
      </c>
      <c r="C89" s="750">
        <v>0.84</v>
      </c>
      <c r="D89" s="750">
        <v>0.10630000000000001</v>
      </c>
    </row>
    <row r="90" spans="1:5" x14ac:dyDescent="0.2">
      <c r="B90" s="750">
        <v>200</v>
      </c>
      <c r="C90" s="750">
        <v>0.74419999999999997</v>
      </c>
      <c r="D90" s="750">
        <v>0.10630000000000001</v>
      </c>
    </row>
    <row r="92" spans="1:5" x14ac:dyDescent="0.2">
      <c r="A92" s="668" t="s">
        <v>272</v>
      </c>
      <c r="E92" s="325">
        <v>285</v>
      </c>
    </row>
    <row r="93" spans="1:5" x14ac:dyDescent="0.2">
      <c r="B93" s="750">
        <v>0</v>
      </c>
      <c r="C93" s="750">
        <v>2.8549000000000002</v>
      </c>
      <c r="D93" s="750">
        <v>0.10630000000000001</v>
      </c>
    </row>
    <row r="94" spans="1:5" x14ac:dyDescent="0.2">
      <c r="B94" s="750">
        <v>81</v>
      </c>
      <c r="C94" s="750">
        <v>2.661</v>
      </c>
      <c r="D94" s="750">
        <v>0.10630000000000001</v>
      </c>
    </row>
    <row r="96" spans="1:5" x14ac:dyDescent="0.2">
      <c r="A96" s="668" t="s">
        <v>274</v>
      </c>
      <c r="E96" s="325">
        <v>303</v>
      </c>
    </row>
    <row r="97" spans="1:5" x14ac:dyDescent="0.2">
      <c r="B97" s="750">
        <v>0</v>
      </c>
      <c r="C97" s="750">
        <v>3.2682000000000002</v>
      </c>
      <c r="D97" s="750">
        <v>0.1048</v>
      </c>
    </row>
    <row r="98" spans="1:5" x14ac:dyDescent="0.2">
      <c r="B98" s="750">
        <v>100</v>
      </c>
      <c r="C98" s="750">
        <v>2.6606999999999998</v>
      </c>
      <c r="D98" s="750">
        <v>0.1048</v>
      </c>
    </row>
    <row r="99" spans="1:5" x14ac:dyDescent="0.2">
      <c r="B99" s="750">
        <v>125</v>
      </c>
      <c r="C99" s="750">
        <v>1.9588000000000001</v>
      </c>
      <c r="D99" s="750">
        <v>0.1048</v>
      </c>
    </row>
    <row r="100" spans="1:5" x14ac:dyDescent="0.2">
      <c r="B100" s="750">
        <v>150</v>
      </c>
      <c r="C100" s="750">
        <v>1.6341000000000001</v>
      </c>
      <c r="D100" s="750">
        <v>0.1048</v>
      </c>
    </row>
    <row r="101" spans="1:5" x14ac:dyDescent="0.2">
      <c r="B101" s="750">
        <v>175</v>
      </c>
      <c r="C101" s="750">
        <v>1.3932</v>
      </c>
      <c r="D101" s="750">
        <v>0.1048</v>
      </c>
    </row>
    <row r="102" spans="1:5" x14ac:dyDescent="0.2">
      <c r="B102" s="750">
        <v>200</v>
      </c>
      <c r="C102" s="750">
        <v>1.2361</v>
      </c>
      <c r="D102" s="750">
        <v>0.1048</v>
      </c>
    </row>
    <row r="104" spans="1:5" x14ac:dyDescent="0.2">
      <c r="A104" s="668" t="s">
        <v>273</v>
      </c>
      <c r="E104" s="325">
        <v>305</v>
      </c>
    </row>
    <row r="105" spans="1:5" x14ac:dyDescent="0.2">
      <c r="B105" s="750">
        <v>0</v>
      </c>
      <c r="C105" s="750">
        <v>3.6453000000000002</v>
      </c>
      <c r="D105" s="750">
        <v>0.1048</v>
      </c>
    </row>
    <row r="106" spans="1:5" x14ac:dyDescent="0.2">
      <c r="B106" s="750">
        <v>75</v>
      </c>
      <c r="C106" s="750">
        <v>2.4302000000000001</v>
      </c>
      <c r="D106" s="750">
        <v>0.1048</v>
      </c>
    </row>
    <row r="107" spans="1:5" x14ac:dyDescent="0.2">
      <c r="B107" s="750">
        <v>100</v>
      </c>
      <c r="C107" s="750">
        <v>1.8227</v>
      </c>
      <c r="D107" s="750">
        <v>0.1048</v>
      </c>
    </row>
    <row r="109" spans="1:5" x14ac:dyDescent="0.2">
      <c r="A109" s="668" t="s">
        <v>275</v>
      </c>
      <c r="E109" s="325">
        <v>307</v>
      </c>
    </row>
    <row r="110" spans="1:5" x14ac:dyDescent="0.2">
      <c r="B110" s="750">
        <v>0</v>
      </c>
      <c r="C110" s="750">
        <v>3.1006</v>
      </c>
      <c r="D110" s="750">
        <v>0.1048</v>
      </c>
    </row>
    <row r="111" spans="1:5" x14ac:dyDescent="0.2">
      <c r="B111" s="750">
        <v>100</v>
      </c>
      <c r="C111" s="750">
        <v>2.3254999999999999</v>
      </c>
      <c r="D111" s="750">
        <v>0.1048</v>
      </c>
    </row>
    <row r="112" spans="1:5" x14ac:dyDescent="0.2">
      <c r="B112" s="750">
        <v>125</v>
      </c>
      <c r="C112" s="750">
        <v>1.8541000000000001</v>
      </c>
      <c r="D112" s="750">
        <v>0.1048</v>
      </c>
    </row>
    <row r="113" spans="1:5" x14ac:dyDescent="0.2">
      <c r="B113" s="750">
        <v>150</v>
      </c>
      <c r="C113" s="750">
        <v>1.5503</v>
      </c>
      <c r="D113" s="750">
        <v>0.1048</v>
      </c>
    </row>
    <row r="114" spans="1:5" x14ac:dyDescent="0.2">
      <c r="B114" s="750">
        <v>175</v>
      </c>
      <c r="C114" s="750">
        <v>1.3303</v>
      </c>
      <c r="D114" s="750">
        <v>0.1048</v>
      </c>
    </row>
    <row r="115" spans="1:5" x14ac:dyDescent="0.2">
      <c r="B115" s="750">
        <v>200</v>
      </c>
      <c r="C115" s="750">
        <v>1.1627000000000001</v>
      </c>
      <c r="D115" s="750">
        <v>0.1048</v>
      </c>
    </row>
    <row r="117" spans="1:5" x14ac:dyDescent="0.2">
      <c r="A117" s="668" t="s">
        <v>276</v>
      </c>
      <c r="E117" s="325">
        <v>320</v>
      </c>
    </row>
    <row r="118" spans="1:5" x14ac:dyDescent="0.2">
      <c r="B118" s="750">
        <v>0</v>
      </c>
      <c r="C118" s="750">
        <v>1.0794999999999999</v>
      </c>
      <c r="D118" s="750">
        <v>0.1017</v>
      </c>
    </row>
    <row r="119" spans="1:5" x14ac:dyDescent="0.2">
      <c r="B119" s="750">
        <v>200</v>
      </c>
      <c r="C119" s="750">
        <v>0.80959999999999999</v>
      </c>
      <c r="D119" s="750">
        <v>0.1017</v>
      </c>
    </row>
    <row r="120" spans="1:5" x14ac:dyDescent="0.2">
      <c r="B120" s="750">
        <v>250</v>
      </c>
      <c r="C120" s="750">
        <v>0.64770000000000005</v>
      </c>
      <c r="D120" s="750">
        <v>0.1017</v>
      </c>
    </row>
    <row r="121" spans="1:5" x14ac:dyDescent="0.2">
      <c r="B121" s="750">
        <v>300</v>
      </c>
      <c r="C121" s="750">
        <v>0.53969999999999996</v>
      </c>
      <c r="D121" s="750">
        <v>0.1017</v>
      </c>
    </row>
    <row r="122" spans="1:5" x14ac:dyDescent="0.2">
      <c r="B122" s="750">
        <v>350</v>
      </c>
      <c r="C122" s="750">
        <v>0.46260000000000001</v>
      </c>
      <c r="D122" s="750">
        <v>0.1017</v>
      </c>
    </row>
    <row r="123" spans="1:5" x14ac:dyDescent="0.2">
      <c r="B123" s="750">
        <v>400</v>
      </c>
      <c r="C123" s="750">
        <v>0.40489999999999998</v>
      </c>
      <c r="D123" s="750">
        <v>0.1017</v>
      </c>
    </row>
    <row r="124" spans="1:5" x14ac:dyDescent="0.2">
      <c r="B124" s="750">
        <v>450</v>
      </c>
      <c r="C124" s="750">
        <v>0.35980000000000001</v>
      </c>
      <c r="D124" s="750">
        <v>0.1017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C36" sqref="C36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195</v>
      </c>
      <c r="B3" s="487">
        <v>0.375</v>
      </c>
      <c r="C3" s="488">
        <v>2013</v>
      </c>
      <c r="D3" s="488">
        <v>3</v>
      </c>
      <c r="E3" s="488">
        <v>1</v>
      </c>
      <c r="F3" s="489">
        <v>531588</v>
      </c>
      <c r="G3" s="488">
        <v>16681413</v>
      </c>
      <c r="H3" s="489">
        <v>431180</v>
      </c>
      <c r="I3" s="488">
        <v>4311802</v>
      </c>
      <c r="J3" s="488">
        <v>1</v>
      </c>
      <c r="K3" s="488">
        <v>12</v>
      </c>
      <c r="L3" s="490">
        <v>100.73099999999999</v>
      </c>
      <c r="M3" s="489">
        <v>22.82</v>
      </c>
      <c r="N3" s="491">
        <v>89.4</v>
      </c>
      <c r="O3" s="492">
        <v>160</v>
      </c>
      <c r="P3" s="493">
        <f>F4-F3</f>
        <v>160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160</v>
      </c>
      <c r="W3" s="498">
        <f>V3*35.31467</f>
        <v>5650.3472000000002</v>
      </c>
      <c r="X3" s="497"/>
      <c r="Y3" s="499">
        <f>V3*R3/1000000</f>
        <v>1.3799550738377684</v>
      </c>
      <c r="Z3" s="500">
        <f>S3*V3/1000000</f>
        <v>5.7775959031439674</v>
      </c>
      <c r="AA3" s="501">
        <f>W3*T3/1000000</f>
        <v>5.4760887847870601</v>
      </c>
      <c r="AE3" s="598" t="str">
        <f>RIGHT(F3,6)</f>
        <v>531588</v>
      </c>
      <c r="AF3" s="486">
        <v>195</v>
      </c>
      <c r="AG3" s="491">
        <v>1</v>
      </c>
      <c r="AH3" s="599">
        <v>531588</v>
      </c>
      <c r="AI3" s="600">
        <f>IFERROR(AE3*1,0)</f>
        <v>531588</v>
      </c>
      <c r="AJ3" s="601">
        <f>(AI3-AH3)</f>
        <v>0</v>
      </c>
      <c r="AL3" s="602">
        <f>AH4-AH3</f>
        <v>160</v>
      </c>
      <c r="AM3" s="603">
        <f>AI4-AI3</f>
        <v>160</v>
      </c>
      <c r="AN3" s="604">
        <f>(AM3-AL3)</f>
        <v>0</v>
      </c>
      <c r="AO3" s="605">
        <f>IFERROR(AN3/AM3,"")</f>
        <v>0</v>
      </c>
    </row>
    <row r="4" spans="1:41" x14ac:dyDescent="0.2">
      <c r="A4" s="502">
        <v>195</v>
      </c>
      <c r="B4" s="503">
        <v>0.375</v>
      </c>
      <c r="C4" s="504">
        <v>2013</v>
      </c>
      <c r="D4" s="504">
        <v>3</v>
      </c>
      <c r="E4" s="504">
        <v>2</v>
      </c>
      <c r="F4" s="505">
        <v>531748</v>
      </c>
      <c r="G4" s="504">
        <v>0</v>
      </c>
      <c r="H4" s="505">
        <v>23134</v>
      </c>
      <c r="I4" s="504">
        <v>0</v>
      </c>
      <c r="J4" s="504">
        <v>0</v>
      </c>
      <c r="K4" s="504">
        <v>0</v>
      </c>
      <c r="L4" s="506">
        <v>313.54640000000001</v>
      </c>
      <c r="M4" s="505">
        <v>14.2</v>
      </c>
      <c r="N4" s="507">
        <v>0</v>
      </c>
      <c r="O4" s="508">
        <v>0</v>
      </c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>531748</v>
      </c>
      <c r="AF4" s="502">
        <v>195</v>
      </c>
      <c r="AG4" s="606">
        <v>2</v>
      </c>
      <c r="AH4" s="607">
        <v>531748</v>
      </c>
      <c r="AI4" s="608">
        <f t="shared" ref="AI4:AI34" si="4">IFERROR(AE4*1,0)</f>
        <v>531748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>
        <v>195</v>
      </c>
      <c r="B5" s="503">
        <v>0.375</v>
      </c>
      <c r="C5" s="504">
        <v>2013</v>
      </c>
      <c r="D5" s="504">
        <v>3</v>
      </c>
      <c r="E5" s="504">
        <v>3</v>
      </c>
      <c r="F5" s="505">
        <v>531748</v>
      </c>
      <c r="G5" s="504">
        <v>0</v>
      </c>
      <c r="H5" s="505">
        <v>23134</v>
      </c>
      <c r="I5" s="504">
        <v>0</v>
      </c>
      <c r="J5" s="504">
        <v>0</v>
      </c>
      <c r="K5" s="504">
        <v>0</v>
      </c>
      <c r="L5" s="506">
        <v>318.37</v>
      </c>
      <c r="M5" s="505">
        <v>7</v>
      </c>
      <c r="N5" s="507">
        <v>0</v>
      </c>
      <c r="O5" s="508">
        <v>0</v>
      </c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>531748</v>
      </c>
      <c r="AF5" s="502">
        <v>195</v>
      </c>
      <c r="AG5" s="606">
        <v>3</v>
      </c>
      <c r="AH5" s="607">
        <v>531748</v>
      </c>
      <c r="AI5" s="608">
        <f t="shared" si="4"/>
        <v>531748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>
        <v>195</v>
      </c>
      <c r="B6" s="503">
        <v>0.375</v>
      </c>
      <c r="C6" s="504">
        <v>2013</v>
      </c>
      <c r="D6" s="504">
        <v>3</v>
      </c>
      <c r="E6" s="504">
        <v>4</v>
      </c>
      <c r="F6" s="505">
        <v>531748</v>
      </c>
      <c r="G6" s="504">
        <v>0</v>
      </c>
      <c r="H6" s="505">
        <v>23134</v>
      </c>
      <c r="I6" s="504">
        <v>0</v>
      </c>
      <c r="J6" s="504">
        <v>0</v>
      </c>
      <c r="K6" s="504">
        <v>0</v>
      </c>
      <c r="L6" s="506">
        <v>318.53559999999999</v>
      </c>
      <c r="M6" s="505">
        <v>10.199999999999999</v>
      </c>
      <c r="N6" s="507">
        <v>0</v>
      </c>
      <c r="O6" s="508">
        <v>446</v>
      </c>
      <c r="P6" s="493">
        <f t="shared" si="0"/>
        <v>446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446</v>
      </c>
      <c r="W6" s="512">
        <f t="shared" si="10"/>
        <v>15750.34282</v>
      </c>
      <c r="X6" s="497"/>
      <c r="Y6" s="513">
        <f t="shared" si="11"/>
        <v>3.8672819943925267</v>
      </c>
      <c r="Z6" s="510">
        <f t="shared" si="12"/>
        <v>16.191536254122632</v>
      </c>
      <c r="AA6" s="511">
        <f t="shared" si="13"/>
        <v>15.346571753387058</v>
      </c>
      <c r="AE6" s="598" t="str">
        <f t="shared" si="3"/>
        <v>531748</v>
      </c>
      <c r="AF6" s="502">
        <v>195</v>
      </c>
      <c r="AG6" s="606">
        <v>4</v>
      </c>
      <c r="AH6" s="607">
        <v>531748</v>
      </c>
      <c r="AI6" s="608">
        <f t="shared" si="4"/>
        <v>531748</v>
      </c>
      <c r="AJ6" s="609">
        <f t="shared" si="5"/>
        <v>0</v>
      </c>
      <c r="AL6" s="602">
        <f t="shared" si="6"/>
        <v>458</v>
      </c>
      <c r="AM6" s="610">
        <f t="shared" si="6"/>
        <v>446</v>
      </c>
      <c r="AN6" s="611">
        <f t="shared" si="7"/>
        <v>-12</v>
      </c>
      <c r="AO6" s="612">
        <f t="shared" si="8"/>
        <v>-2.6905829596412557E-2</v>
      </c>
    </row>
    <row r="7" spans="1:41" x14ac:dyDescent="0.2">
      <c r="A7" s="502">
        <v>195</v>
      </c>
      <c r="B7" s="503">
        <v>0.375</v>
      </c>
      <c r="C7" s="504">
        <v>2013</v>
      </c>
      <c r="D7" s="504">
        <v>3</v>
      </c>
      <c r="E7" s="504">
        <v>5</v>
      </c>
      <c r="F7" s="505">
        <v>532194</v>
      </c>
      <c r="G7" s="504">
        <v>0</v>
      </c>
      <c r="H7" s="505">
        <v>23153</v>
      </c>
      <c r="I7" s="504">
        <v>0</v>
      </c>
      <c r="J7" s="504">
        <v>0</v>
      </c>
      <c r="K7" s="504">
        <v>0</v>
      </c>
      <c r="L7" s="506">
        <v>311.07839999999999</v>
      </c>
      <c r="M7" s="505">
        <v>14.4</v>
      </c>
      <c r="N7" s="507">
        <v>0</v>
      </c>
      <c r="O7" s="508">
        <v>574</v>
      </c>
      <c r="P7" s="493">
        <f t="shared" si="0"/>
        <v>574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574</v>
      </c>
      <c r="W7" s="512">
        <f t="shared" si="10"/>
        <v>20270.620579999999</v>
      </c>
      <c r="X7" s="497"/>
      <c r="Y7" s="513">
        <f t="shared" si="11"/>
        <v>4.9730226716788453</v>
      </c>
      <c r="Z7" s="510">
        <f t="shared" si="12"/>
        <v>20.821051321784985</v>
      </c>
      <c r="AA7" s="511">
        <f t="shared" si="13"/>
        <v>19.73449295210451</v>
      </c>
      <c r="AE7" s="598" t="str">
        <f t="shared" si="3"/>
        <v>532194</v>
      </c>
      <c r="AF7" s="502">
        <v>195</v>
      </c>
      <c r="AG7" s="606">
        <v>5</v>
      </c>
      <c r="AH7" s="607">
        <v>532206</v>
      </c>
      <c r="AI7" s="608">
        <f t="shared" si="4"/>
        <v>532194</v>
      </c>
      <c r="AJ7" s="609">
        <f t="shared" si="5"/>
        <v>-12</v>
      </c>
      <c r="AL7" s="602">
        <f t="shared" si="6"/>
        <v>567</v>
      </c>
      <c r="AM7" s="610">
        <f t="shared" si="6"/>
        <v>574</v>
      </c>
      <c r="AN7" s="611">
        <f t="shared" si="7"/>
        <v>7</v>
      </c>
      <c r="AO7" s="612">
        <f t="shared" si="8"/>
        <v>1.2195121951219513E-2</v>
      </c>
    </row>
    <row r="8" spans="1:41" x14ac:dyDescent="0.2">
      <c r="A8" s="502">
        <v>195</v>
      </c>
      <c r="B8" s="503">
        <v>0.375</v>
      </c>
      <c r="C8" s="504">
        <v>2013</v>
      </c>
      <c r="D8" s="504">
        <v>3</v>
      </c>
      <c r="E8" s="504">
        <v>6</v>
      </c>
      <c r="F8" s="505">
        <v>532768</v>
      </c>
      <c r="G8" s="504">
        <v>0</v>
      </c>
      <c r="H8" s="505">
        <v>23178</v>
      </c>
      <c r="I8" s="504">
        <v>0</v>
      </c>
      <c r="J8" s="504">
        <v>0</v>
      </c>
      <c r="K8" s="504">
        <v>0</v>
      </c>
      <c r="L8" s="506">
        <v>321.58580000000001</v>
      </c>
      <c r="M8" s="505">
        <v>15.9</v>
      </c>
      <c r="N8" s="507">
        <v>0</v>
      </c>
      <c r="O8" s="508">
        <v>450</v>
      </c>
      <c r="P8" s="493">
        <f t="shared" si="0"/>
        <v>450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450</v>
      </c>
      <c r="W8" s="512">
        <f t="shared" si="10"/>
        <v>15891.601500000001</v>
      </c>
      <c r="X8" s="497"/>
      <c r="Y8" s="513">
        <f t="shared" si="11"/>
        <v>3.9047627360782036</v>
      </c>
      <c r="Z8" s="510">
        <f t="shared" si="12"/>
        <v>16.348460623412223</v>
      </c>
      <c r="AA8" s="511">
        <f t="shared" si="13"/>
        <v>15.495306935482246</v>
      </c>
      <c r="AE8" s="598" t="str">
        <f t="shared" si="3"/>
        <v>532768</v>
      </c>
      <c r="AF8" s="502">
        <v>195</v>
      </c>
      <c r="AG8" s="606">
        <v>6</v>
      </c>
      <c r="AH8" s="607">
        <v>532773</v>
      </c>
      <c r="AI8" s="608">
        <f t="shared" si="4"/>
        <v>532768</v>
      </c>
      <c r="AJ8" s="609">
        <f t="shared" si="5"/>
        <v>-5</v>
      </c>
      <c r="AL8" s="602">
        <f t="shared" si="6"/>
        <v>445</v>
      </c>
      <c r="AM8" s="610">
        <f t="shared" si="6"/>
        <v>450</v>
      </c>
      <c r="AN8" s="611">
        <f t="shared" si="7"/>
        <v>5</v>
      </c>
      <c r="AO8" s="612">
        <f t="shared" si="8"/>
        <v>1.1111111111111112E-2</v>
      </c>
    </row>
    <row r="9" spans="1:41" x14ac:dyDescent="0.2">
      <c r="A9" s="502">
        <v>195</v>
      </c>
      <c r="B9" s="503">
        <v>0.375</v>
      </c>
      <c r="C9" s="504">
        <v>2013</v>
      </c>
      <c r="D9" s="504">
        <v>3</v>
      </c>
      <c r="E9" s="504">
        <v>7</v>
      </c>
      <c r="F9" s="505">
        <v>533218</v>
      </c>
      <c r="G9" s="504">
        <v>0</v>
      </c>
      <c r="H9" s="505">
        <v>23197</v>
      </c>
      <c r="I9" s="504">
        <v>0</v>
      </c>
      <c r="J9" s="504">
        <v>0</v>
      </c>
      <c r="K9" s="504">
        <v>0</v>
      </c>
      <c r="L9" s="506">
        <v>324.46019999999999</v>
      </c>
      <c r="M9" s="505">
        <v>15.8</v>
      </c>
      <c r="N9" s="507">
        <v>0</v>
      </c>
      <c r="O9" s="508">
        <v>191</v>
      </c>
      <c r="P9" s="493">
        <f t="shared" si="0"/>
        <v>191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191</v>
      </c>
      <c r="W9" s="512">
        <f t="shared" si="10"/>
        <v>6745.1019699999997</v>
      </c>
      <c r="X9" s="497"/>
      <c r="Y9" s="513">
        <f t="shared" si="11"/>
        <v>1.6586866597081278</v>
      </c>
      <c r="Z9" s="510">
        <f t="shared" si="12"/>
        <v>6.9445893068659892</v>
      </c>
      <c r="AA9" s="511">
        <f t="shared" si="13"/>
        <v>6.5821819759991893</v>
      </c>
      <c r="AE9" s="598" t="str">
        <f t="shared" si="3"/>
        <v>533218</v>
      </c>
      <c r="AF9" s="502">
        <v>195</v>
      </c>
      <c r="AG9" s="606">
        <v>7</v>
      </c>
      <c r="AH9" s="607">
        <v>533218</v>
      </c>
      <c r="AI9" s="608">
        <f t="shared" si="4"/>
        <v>533218</v>
      </c>
      <c r="AJ9" s="609">
        <f t="shared" si="5"/>
        <v>0</v>
      </c>
      <c r="AL9" s="602">
        <f t="shared" si="6"/>
        <v>191</v>
      </c>
      <c r="AM9" s="610">
        <f t="shared" si="6"/>
        <v>191</v>
      </c>
      <c r="AN9" s="611">
        <f t="shared" si="7"/>
        <v>0</v>
      </c>
      <c r="AO9" s="612">
        <f t="shared" si="8"/>
        <v>0</v>
      </c>
    </row>
    <row r="10" spans="1:41" x14ac:dyDescent="0.2">
      <c r="A10" s="502">
        <v>195</v>
      </c>
      <c r="B10" s="503">
        <v>0.375</v>
      </c>
      <c r="C10" s="504">
        <v>2013</v>
      </c>
      <c r="D10" s="504">
        <v>3</v>
      </c>
      <c r="E10" s="504">
        <v>8</v>
      </c>
      <c r="F10" s="505">
        <v>533409</v>
      </c>
      <c r="G10" s="504">
        <v>0</v>
      </c>
      <c r="H10" s="505">
        <v>23205</v>
      </c>
      <c r="I10" s="504">
        <v>0</v>
      </c>
      <c r="J10" s="504">
        <v>0</v>
      </c>
      <c r="K10" s="504">
        <v>0</v>
      </c>
      <c r="L10" s="506">
        <v>323.64659999999998</v>
      </c>
      <c r="M10" s="505">
        <v>17.8</v>
      </c>
      <c r="N10" s="507">
        <v>0</v>
      </c>
      <c r="O10" s="508">
        <v>0</v>
      </c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>533409</v>
      </c>
      <c r="AF10" s="502">
        <v>195</v>
      </c>
      <c r="AG10" s="606">
        <v>8</v>
      </c>
      <c r="AH10" s="607">
        <v>533409</v>
      </c>
      <c r="AI10" s="608">
        <f t="shared" si="4"/>
        <v>533409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>
        <v>195</v>
      </c>
      <c r="B11" s="503">
        <v>0.375</v>
      </c>
      <c r="C11" s="504">
        <v>2013</v>
      </c>
      <c r="D11" s="504">
        <v>3</v>
      </c>
      <c r="E11" s="504">
        <v>9</v>
      </c>
      <c r="F11" s="505">
        <v>533409</v>
      </c>
      <c r="G11" s="504">
        <v>0</v>
      </c>
      <c r="H11" s="505">
        <v>23205</v>
      </c>
      <c r="I11" s="504">
        <v>0</v>
      </c>
      <c r="J11" s="504">
        <v>0</v>
      </c>
      <c r="K11" s="504">
        <v>0</v>
      </c>
      <c r="L11" s="506">
        <v>323.47109999999998</v>
      </c>
      <c r="M11" s="505">
        <v>18.600000000000001</v>
      </c>
      <c r="N11" s="507">
        <v>0</v>
      </c>
      <c r="O11" s="508">
        <v>0</v>
      </c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>533409</v>
      </c>
      <c r="AF11" s="502">
        <v>195</v>
      </c>
      <c r="AG11" s="606">
        <v>9</v>
      </c>
      <c r="AH11" s="607">
        <v>533409</v>
      </c>
      <c r="AI11" s="608">
        <f t="shared" si="4"/>
        <v>533409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>
        <v>195</v>
      </c>
      <c r="B12" s="503">
        <v>0.375</v>
      </c>
      <c r="C12" s="504">
        <v>2013</v>
      </c>
      <c r="D12" s="504">
        <v>3</v>
      </c>
      <c r="E12" s="504">
        <v>10</v>
      </c>
      <c r="F12" s="505">
        <v>533409</v>
      </c>
      <c r="G12" s="504">
        <v>0</v>
      </c>
      <c r="H12" s="505">
        <v>23205</v>
      </c>
      <c r="I12" s="504">
        <v>0</v>
      </c>
      <c r="J12" s="504">
        <v>0</v>
      </c>
      <c r="K12" s="504">
        <v>0</v>
      </c>
      <c r="L12" s="506">
        <v>328.44029999999998</v>
      </c>
      <c r="M12" s="505">
        <v>19.600000000000001</v>
      </c>
      <c r="N12" s="507">
        <v>0</v>
      </c>
      <c r="O12" s="508">
        <v>58</v>
      </c>
      <c r="P12" s="493">
        <f t="shared" si="0"/>
        <v>58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58</v>
      </c>
      <c r="W12" s="515">
        <f t="shared" si="10"/>
        <v>2048.2508600000001</v>
      </c>
      <c r="Y12" s="513">
        <f t="shared" si="11"/>
        <v>0.50453588901483304</v>
      </c>
      <c r="Z12" s="510">
        <f t="shared" si="12"/>
        <v>2.1123908601273031</v>
      </c>
      <c r="AA12" s="511">
        <f t="shared" si="13"/>
        <v>2.0021545452729059</v>
      </c>
      <c r="AE12" s="598" t="str">
        <f t="shared" si="3"/>
        <v>533409</v>
      </c>
      <c r="AF12" s="502">
        <v>195</v>
      </c>
      <c r="AG12" s="606">
        <v>10</v>
      </c>
      <c r="AH12" s="607">
        <v>533409</v>
      </c>
      <c r="AI12" s="608">
        <f t="shared" si="4"/>
        <v>533409</v>
      </c>
      <c r="AJ12" s="609">
        <f t="shared" si="5"/>
        <v>0</v>
      </c>
      <c r="AL12" s="602">
        <f t="shared" si="6"/>
        <v>70</v>
      </c>
      <c r="AM12" s="610">
        <f t="shared" si="6"/>
        <v>58</v>
      </c>
      <c r="AN12" s="611">
        <f t="shared" si="7"/>
        <v>-12</v>
      </c>
      <c r="AO12" s="612">
        <f t="shared" si="8"/>
        <v>-0.20689655172413793</v>
      </c>
    </row>
    <row r="13" spans="1:41" x14ac:dyDescent="0.2">
      <c r="A13" s="502">
        <v>195</v>
      </c>
      <c r="B13" s="503">
        <v>0.375</v>
      </c>
      <c r="C13" s="504">
        <v>2013</v>
      </c>
      <c r="D13" s="504">
        <v>3</v>
      </c>
      <c r="E13" s="504">
        <v>11</v>
      </c>
      <c r="F13" s="505">
        <v>533467</v>
      </c>
      <c r="G13" s="504">
        <v>0</v>
      </c>
      <c r="H13" s="505">
        <v>23207</v>
      </c>
      <c r="I13" s="504">
        <v>0</v>
      </c>
      <c r="J13" s="504">
        <v>0</v>
      </c>
      <c r="K13" s="504">
        <v>0</v>
      </c>
      <c r="L13" s="506">
        <v>327.67610000000002</v>
      </c>
      <c r="M13" s="505">
        <v>19.7</v>
      </c>
      <c r="N13" s="507">
        <v>0</v>
      </c>
      <c r="O13" s="508">
        <v>551</v>
      </c>
      <c r="P13" s="493">
        <f t="shared" si="0"/>
        <v>551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551</v>
      </c>
      <c r="W13" s="515">
        <f t="shared" si="10"/>
        <v>19458.383170000001</v>
      </c>
      <c r="Y13" s="513">
        <f t="shared" si="11"/>
        <v>4.7847900015035991</v>
      </c>
      <c r="Z13" s="510">
        <f t="shared" si="12"/>
        <v>20.032958778295267</v>
      </c>
      <c r="AA13" s="511">
        <f t="shared" si="13"/>
        <v>18.987527464879989</v>
      </c>
      <c r="AE13" s="598" t="str">
        <f t="shared" si="3"/>
        <v>533467</v>
      </c>
      <c r="AF13" s="502">
        <v>195</v>
      </c>
      <c r="AG13" s="606">
        <v>11</v>
      </c>
      <c r="AH13" s="607">
        <v>533479</v>
      </c>
      <c r="AI13" s="608">
        <f t="shared" si="4"/>
        <v>533467</v>
      </c>
      <c r="AJ13" s="609">
        <f t="shared" si="5"/>
        <v>-12</v>
      </c>
      <c r="AL13" s="602">
        <f t="shared" si="6"/>
        <v>539</v>
      </c>
      <c r="AM13" s="610">
        <f t="shared" si="6"/>
        <v>551</v>
      </c>
      <c r="AN13" s="611">
        <f t="shared" si="7"/>
        <v>12</v>
      </c>
      <c r="AO13" s="612">
        <f t="shared" si="8"/>
        <v>2.1778584392014518E-2</v>
      </c>
    </row>
    <row r="14" spans="1:41" x14ac:dyDescent="0.2">
      <c r="A14" s="502">
        <v>195</v>
      </c>
      <c r="B14" s="503">
        <v>0.375</v>
      </c>
      <c r="C14" s="504">
        <v>2013</v>
      </c>
      <c r="D14" s="504">
        <v>3</v>
      </c>
      <c r="E14" s="504">
        <v>12</v>
      </c>
      <c r="F14" s="505">
        <v>534018</v>
      </c>
      <c r="G14" s="504">
        <v>0</v>
      </c>
      <c r="H14" s="505">
        <v>23230</v>
      </c>
      <c r="I14" s="504">
        <v>0</v>
      </c>
      <c r="J14" s="504">
        <v>0</v>
      </c>
      <c r="K14" s="504">
        <v>0</v>
      </c>
      <c r="L14" s="506">
        <v>323.17919999999998</v>
      </c>
      <c r="M14" s="505">
        <v>18.899999999999999</v>
      </c>
      <c r="N14" s="507">
        <v>0</v>
      </c>
      <c r="O14" s="508">
        <v>385</v>
      </c>
      <c r="P14" s="493">
        <f t="shared" si="0"/>
        <v>385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385</v>
      </c>
      <c r="W14" s="515">
        <f t="shared" si="10"/>
        <v>13596.14795</v>
      </c>
      <c r="Y14" s="513">
        <f t="shared" si="11"/>
        <v>3.3447113149385173</v>
      </c>
      <c r="Z14" s="510">
        <f t="shared" si="12"/>
        <v>14.003637333384585</v>
      </c>
      <c r="AA14" s="511">
        <f t="shared" si="13"/>
        <v>13.272849578462777</v>
      </c>
      <c r="AE14" s="598" t="str">
        <f t="shared" si="3"/>
        <v>534018</v>
      </c>
      <c r="AF14" s="502">
        <v>195</v>
      </c>
      <c r="AG14" s="606">
        <v>12</v>
      </c>
      <c r="AH14" s="607">
        <v>534018</v>
      </c>
      <c r="AI14" s="608">
        <f t="shared" si="4"/>
        <v>534018</v>
      </c>
      <c r="AJ14" s="609">
        <f t="shared" si="5"/>
        <v>0</v>
      </c>
      <c r="AL14" s="602">
        <f t="shared" si="6"/>
        <v>397</v>
      </c>
      <c r="AM14" s="610">
        <f t="shared" si="6"/>
        <v>385</v>
      </c>
      <c r="AN14" s="611">
        <f t="shared" si="7"/>
        <v>-12</v>
      </c>
      <c r="AO14" s="612">
        <f t="shared" si="8"/>
        <v>-3.1168831168831169E-2</v>
      </c>
    </row>
    <row r="15" spans="1:41" x14ac:dyDescent="0.2">
      <c r="A15" s="502">
        <v>195</v>
      </c>
      <c r="B15" s="503">
        <v>0.375</v>
      </c>
      <c r="C15" s="504">
        <v>2013</v>
      </c>
      <c r="D15" s="504">
        <v>3</v>
      </c>
      <c r="E15" s="504">
        <v>13</v>
      </c>
      <c r="F15" s="505">
        <v>534403</v>
      </c>
      <c r="G15" s="504">
        <v>0</v>
      </c>
      <c r="H15" s="505">
        <v>23247</v>
      </c>
      <c r="I15" s="504">
        <v>0</v>
      </c>
      <c r="J15" s="504">
        <v>0</v>
      </c>
      <c r="K15" s="504">
        <v>0</v>
      </c>
      <c r="L15" s="506">
        <v>321.13209999999998</v>
      </c>
      <c r="M15" s="505">
        <v>18.7</v>
      </c>
      <c r="N15" s="507">
        <v>0</v>
      </c>
      <c r="O15" s="508">
        <v>372</v>
      </c>
      <c r="P15" s="493">
        <f t="shared" si="0"/>
        <v>372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372</v>
      </c>
      <c r="W15" s="515">
        <f t="shared" si="10"/>
        <v>13137.05724</v>
      </c>
      <c r="Y15" s="513">
        <f t="shared" si="11"/>
        <v>3.2241008916100347</v>
      </c>
      <c r="Z15" s="510">
        <f t="shared" si="12"/>
        <v>13.498665612992895</v>
      </c>
      <c r="AA15" s="511">
        <f t="shared" si="13"/>
        <v>12.79423009364093</v>
      </c>
      <c r="AE15" s="598" t="str">
        <f t="shared" si="3"/>
        <v>534403</v>
      </c>
      <c r="AF15" s="502">
        <v>195</v>
      </c>
      <c r="AG15" s="606">
        <v>13</v>
      </c>
      <c r="AH15" s="607">
        <v>534415</v>
      </c>
      <c r="AI15" s="608">
        <f t="shared" si="4"/>
        <v>534403</v>
      </c>
      <c r="AJ15" s="609">
        <f t="shared" si="5"/>
        <v>-12</v>
      </c>
      <c r="AL15" s="602">
        <f t="shared" si="6"/>
        <v>360</v>
      </c>
      <c r="AM15" s="610">
        <f t="shared" si="6"/>
        <v>372</v>
      </c>
      <c r="AN15" s="611">
        <f t="shared" si="7"/>
        <v>12</v>
      </c>
      <c r="AO15" s="612">
        <f t="shared" si="8"/>
        <v>3.2258064516129031E-2</v>
      </c>
    </row>
    <row r="16" spans="1:41" x14ac:dyDescent="0.2">
      <c r="A16" s="502">
        <v>195</v>
      </c>
      <c r="B16" s="503">
        <v>0.375</v>
      </c>
      <c r="C16" s="504">
        <v>2013</v>
      </c>
      <c r="D16" s="504">
        <v>3</v>
      </c>
      <c r="E16" s="504">
        <v>14</v>
      </c>
      <c r="F16" s="505">
        <v>534775</v>
      </c>
      <c r="G16" s="504">
        <v>0</v>
      </c>
      <c r="H16" s="505">
        <v>23262</v>
      </c>
      <c r="I16" s="504">
        <v>0</v>
      </c>
      <c r="J16" s="504">
        <v>0</v>
      </c>
      <c r="K16" s="504">
        <v>0</v>
      </c>
      <c r="L16" s="506">
        <v>320.15429999999998</v>
      </c>
      <c r="M16" s="505">
        <v>15.6</v>
      </c>
      <c r="N16" s="507">
        <v>0</v>
      </c>
      <c r="O16" s="508">
        <v>394</v>
      </c>
      <c r="P16" s="493">
        <f t="shared" si="0"/>
        <v>394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394</v>
      </c>
      <c r="W16" s="515">
        <f t="shared" si="10"/>
        <v>13913.97998</v>
      </c>
      <c r="Y16" s="513">
        <f t="shared" si="11"/>
        <v>3.4059309215905165</v>
      </c>
      <c r="Z16" s="510">
        <f t="shared" si="12"/>
        <v>14.259951582515173</v>
      </c>
      <c r="AA16" s="511">
        <f t="shared" si="13"/>
        <v>13.515787923161017</v>
      </c>
      <c r="AE16" s="598" t="str">
        <f t="shared" si="3"/>
        <v>534775</v>
      </c>
      <c r="AF16" s="502">
        <v>195</v>
      </c>
      <c r="AG16" s="606">
        <v>14</v>
      </c>
      <c r="AH16" s="607">
        <v>534775</v>
      </c>
      <c r="AI16" s="608">
        <f t="shared" si="4"/>
        <v>534775</v>
      </c>
      <c r="AJ16" s="609">
        <f t="shared" si="5"/>
        <v>0</v>
      </c>
      <c r="AL16" s="602">
        <f t="shared" si="6"/>
        <v>-534775</v>
      </c>
      <c r="AM16" s="610">
        <f t="shared" si="6"/>
        <v>394</v>
      </c>
      <c r="AN16" s="611">
        <f t="shared" si="7"/>
        <v>535169</v>
      </c>
      <c r="AO16" s="612">
        <f t="shared" si="8"/>
        <v>1358.2969543147208</v>
      </c>
    </row>
    <row r="17" spans="1:41" x14ac:dyDescent="0.2">
      <c r="A17" s="502">
        <v>195</v>
      </c>
      <c r="B17" s="503">
        <v>0.375</v>
      </c>
      <c r="C17" s="504">
        <v>2013</v>
      </c>
      <c r="D17" s="504">
        <v>3</v>
      </c>
      <c r="E17" s="504">
        <v>15</v>
      </c>
      <c r="F17" s="505">
        <v>535169</v>
      </c>
      <c r="G17" s="504">
        <v>0</v>
      </c>
      <c r="H17" s="505">
        <v>23279</v>
      </c>
      <c r="I17" s="504">
        <v>0</v>
      </c>
      <c r="J17" s="504">
        <v>0</v>
      </c>
      <c r="K17" s="504">
        <v>0</v>
      </c>
      <c r="L17" s="506">
        <v>321.00389999999999</v>
      </c>
      <c r="M17" s="505">
        <v>14.1</v>
      </c>
      <c r="N17" s="507">
        <v>0</v>
      </c>
      <c r="O17" s="508">
        <v>472</v>
      </c>
      <c r="P17" s="493">
        <f t="shared" si="0"/>
        <v>472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472</v>
      </c>
      <c r="W17" s="515">
        <f t="shared" si="10"/>
        <v>16668.524239999999</v>
      </c>
      <c r="Y17" s="513">
        <f t="shared" si="11"/>
        <v>4.1313609685568684</v>
      </c>
      <c r="Z17" s="510">
        <f t="shared" si="12"/>
        <v>17.297182103153897</v>
      </c>
      <c r="AA17" s="511">
        <f t="shared" si="13"/>
        <v>16.394518846836732</v>
      </c>
      <c r="AE17" s="598" t="str">
        <f t="shared" si="3"/>
        <v>535169</v>
      </c>
      <c r="AF17" s="502"/>
      <c r="AG17" s="606"/>
      <c r="AH17" s="607"/>
      <c r="AI17" s="608">
        <f t="shared" si="4"/>
        <v>535169</v>
      </c>
      <c r="AJ17" s="609">
        <f t="shared" si="5"/>
        <v>535169</v>
      </c>
      <c r="AL17" s="602">
        <f t="shared" si="6"/>
        <v>535641</v>
      </c>
      <c r="AM17" s="610">
        <f t="shared" si="6"/>
        <v>472</v>
      </c>
      <c r="AN17" s="611">
        <f t="shared" si="7"/>
        <v>-535169</v>
      </c>
      <c r="AO17" s="612">
        <f t="shared" si="8"/>
        <v>-1133.832627118644</v>
      </c>
    </row>
    <row r="18" spans="1:41" x14ac:dyDescent="0.2">
      <c r="A18" s="502">
        <v>195</v>
      </c>
      <c r="B18" s="503">
        <v>0.375</v>
      </c>
      <c r="C18" s="504">
        <v>2013</v>
      </c>
      <c r="D18" s="504">
        <v>3</v>
      </c>
      <c r="E18" s="504">
        <v>16</v>
      </c>
      <c r="F18" s="505">
        <v>535641</v>
      </c>
      <c r="G18" s="504">
        <v>0</v>
      </c>
      <c r="H18" s="505">
        <v>23299</v>
      </c>
      <c r="I18" s="504">
        <v>0</v>
      </c>
      <c r="J18" s="504">
        <v>0</v>
      </c>
      <c r="K18" s="504">
        <v>0</v>
      </c>
      <c r="L18" s="506">
        <v>320.47070000000002</v>
      </c>
      <c r="M18" s="505">
        <v>13.2</v>
      </c>
      <c r="N18" s="507">
        <v>0</v>
      </c>
      <c r="O18" s="508">
        <v>190</v>
      </c>
      <c r="P18" s="493">
        <f t="shared" si="0"/>
        <v>190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190</v>
      </c>
      <c r="W18" s="515">
        <f t="shared" si="10"/>
        <v>6709.7873</v>
      </c>
      <c r="Y18" s="513">
        <f t="shared" si="11"/>
        <v>1.6630478475122987</v>
      </c>
      <c r="Z18" s="510">
        <f t="shared" si="12"/>
        <v>6.9628487279644924</v>
      </c>
      <c r="AA18" s="511">
        <f t="shared" si="13"/>
        <v>6.5994885188537706</v>
      </c>
      <c r="AE18" s="598" t="str">
        <f t="shared" si="3"/>
        <v>535641</v>
      </c>
      <c r="AF18" s="502">
        <v>195</v>
      </c>
      <c r="AG18" s="606">
        <v>16</v>
      </c>
      <c r="AH18" s="607">
        <v>535641</v>
      </c>
      <c r="AI18" s="608">
        <f t="shared" si="4"/>
        <v>535641</v>
      </c>
      <c r="AJ18" s="609">
        <f t="shared" si="5"/>
        <v>0</v>
      </c>
      <c r="AL18" s="602">
        <f t="shared" si="6"/>
        <v>190</v>
      </c>
      <c r="AM18" s="610">
        <f t="shared" si="6"/>
        <v>190</v>
      </c>
      <c r="AN18" s="611">
        <f t="shared" si="7"/>
        <v>0</v>
      </c>
      <c r="AO18" s="612">
        <f t="shared" si="8"/>
        <v>0</v>
      </c>
    </row>
    <row r="19" spans="1:41" x14ac:dyDescent="0.2">
      <c r="A19" s="502">
        <v>195</v>
      </c>
      <c r="B19" s="503">
        <v>0.375</v>
      </c>
      <c r="C19" s="504">
        <v>2013</v>
      </c>
      <c r="D19" s="504">
        <v>3</v>
      </c>
      <c r="E19" s="504">
        <v>17</v>
      </c>
      <c r="F19" s="505">
        <v>535831</v>
      </c>
      <c r="G19" s="504">
        <v>0</v>
      </c>
      <c r="H19" s="505">
        <v>23307</v>
      </c>
      <c r="I19" s="504">
        <v>0</v>
      </c>
      <c r="J19" s="504">
        <v>0</v>
      </c>
      <c r="K19" s="504">
        <v>0</v>
      </c>
      <c r="L19" s="506">
        <v>327.85489999999999</v>
      </c>
      <c r="M19" s="505">
        <v>11.6</v>
      </c>
      <c r="N19" s="507">
        <v>0</v>
      </c>
      <c r="O19" s="508">
        <v>208</v>
      </c>
      <c r="P19" s="493">
        <f t="shared" si="0"/>
        <v>208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208</v>
      </c>
      <c r="W19" s="515">
        <f t="shared" si="10"/>
        <v>7345.45136</v>
      </c>
      <c r="Y19" s="513">
        <f t="shared" si="11"/>
        <v>1.8205997488555692</v>
      </c>
      <c r="Z19" s="510">
        <f t="shared" si="12"/>
        <v>7.6224870285084974</v>
      </c>
      <c r="AA19" s="511">
        <f t="shared" si="13"/>
        <v>7.2247032206399169</v>
      </c>
      <c r="AE19" s="598" t="str">
        <f t="shared" si="3"/>
        <v>535831</v>
      </c>
      <c r="AF19" s="502">
        <v>195</v>
      </c>
      <c r="AG19" s="606">
        <v>17</v>
      </c>
      <c r="AH19" s="607">
        <v>535831</v>
      </c>
      <c r="AI19" s="608">
        <f t="shared" si="4"/>
        <v>535831</v>
      </c>
      <c r="AJ19" s="609">
        <f t="shared" si="5"/>
        <v>0</v>
      </c>
      <c r="AL19" s="602">
        <f t="shared" si="6"/>
        <v>208</v>
      </c>
      <c r="AM19" s="610">
        <f t="shared" si="6"/>
        <v>208</v>
      </c>
      <c r="AN19" s="611">
        <f t="shared" si="7"/>
        <v>0</v>
      </c>
      <c r="AO19" s="612">
        <f t="shared" si="8"/>
        <v>0</v>
      </c>
    </row>
    <row r="20" spans="1:41" x14ac:dyDescent="0.2">
      <c r="A20" s="502">
        <v>195</v>
      </c>
      <c r="B20" s="503">
        <v>0.375</v>
      </c>
      <c r="C20" s="504">
        <v>2013</v>
      </c>
      <c r="D20" s="504">
        <v>3</v>
      </c>
      <c r="E20" s="504">
        <v>18</v>
      </c>
      <c r="F20" s="505">
        <v>536039</v>
      </c>
      <c r="G20" s="504">
        <v>0</v>
      </c>
      <c r="H20" s="505">
        <v>23315</v>
      </c>
      <c r="I20" s="504">
        <v>0</v>
      </c>
      <c r="J20" s="504">
        <v>0</v>
      </c>
      <c r="K20" s="504">
        <v>0</v>
      </c>
      <c r="L20" s="506">
        <v>328.68639999999999</v>
      </c>
      <c r="M20" s="505">
        <v>17.600000000000001</v>
      </c>
      <c r="N20" s="507">
        <v>0</v>
      </c>
      <c r="O20" s="508">
        <v>114</v>
      </c>
      <c r="P20" s="493">
        <f t="shared" si="0"/>
        <v>114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114</v>
      </c>
      <c r="W20" s="515">
        <f t="shared" si="10"/>
        <v>4025.8723799999998</v>
      </c>
      <c r="Y20" s="513">
        <f t="shared" si="11"/>
        <v>0.99782870850737926</v>
      </c>
      <c r="Z20" s="510">
        <f t="shared" si="12"/>
        <v>4.1777092367786954</v>
      </c>
      <c r="AA20" s="511">
        <f t="shared" si="13"/>
        <v>3.9596931113122618</v>
      </c>
      <c r="AE20" s="598" t="str">
        <f t="shared" si="3"/>
        <v>536039</v>
      </c>
      <c r="AF20" s="502">
        <v>195</v>
      </c>
      <c r="AG20" s="606">
        <v>18</v>
      </c>
      <c r="AH20" s="607">
        <v>536039</v>
      </c>
      <c r="AI20" s="608">
        <f t="shared" si="4"/>
        <v>536039</v>
      </c>
      <c r="AJ20" s="609">
        <f t="shared" si="5"/>
        <v>0</v>
      </c>
      <c r="AL20" s="602">
        <f t="shared" si="6"/>
        <v>116</v>
      </c>
      <c r="AM20" s="610">
        <f t="shared" si="6"/>
        <v>114</v>
      </c>
      <c r="AN20" s="611">
        <f t="shared" si="7"/>
        <v>-2</v>
      </c>
      <c r="AO20" s="612">
        <f t="shared" si="8"/>
        <v>-1.7543859649122806E-2</v>
      </c>
    </row>
    <row r="21" spans="1:41" x14ac:dyDescent="0.2">
      <c r="A21" s="502">
        <v>195</v>
      </c>
      <c r="B21" s="503">
        <v>0.375</v>
      </c>
      <c r="C21" s="504">
        <v>2013</v>
      </c>
      <c r="D21" s="504">
        <v>3</v>
      </c>
      <c r="E21" s="504">
        <v>19</v>
      </c>
      <c r="F21" s="505">
        <v>536153</v>
      </c>
      <c r="G21" s="504">
        <v>0</v>
      </c>
      <c r="H21" s="505">
        <v>23320</v>
      </c>
      <c r="I21" s="504">
        <v>0</v>
      </c>
      <c r="J21" s="504">
        <v>0</v>
      </c>
      <c r="K21" s="504">
        <v>0</v>
      </c>
      <c r="L21" s="506">
        <v>327.69659999999999</v>
      </c>
      <c r="M21" s="505">
        <v>18.899999999999999</v>
      </c>
      <c r="N21" s="507">
        <v>0</v>
      </c>
      <c r="O21" s="508">
        <v>379</v>
      </c>
      <c r="P21" s="493">
        <f t="shared" si="0"/>
        <v>379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379</v>
      </c>
      <c r="W21" s="515">
        <f t="shared" si="10"/>
        <v>13384.25993</v>
      </c>
      <c r="Y21" s="513">
        <f t="shared" si="11"/>
        <v>3.3173428116166384</v>
      </c>
      <c r="Z21" s="510">
        <f t="shared" si="12"/>
        <v>13.889050883676541</v>
      </c>
      <c r="AA21" s="511">
        <f t="shared" si="13"/>
        <v>13.16424288760831</v>
      </c>
      <c r="AE21" s="598" t="str">
        <f t="shared" si="3"/>
        <v>536153</v>
      </c>
      <c r="AF21" s="502">
        <v>195</v>
      </c>
      <c r="AG21" s="606">
        <v>19</v>
      </c>
      <c r="AH21" s="607">
        <v>536155</v>
      </c>
      <c r="AI21" s="608">
        <f t="shared" si="4"/>
        <v>536153</v>
      </c>
      <c r="AJ21" s="609">
        <f t="shared" si="5"/>
        <v>-2</v>
      </c>
      <c r="AL21" s="602">
        <f t="shared" si="6"/>
        <v>377</v>
      </c>
      <c r="AM21" s="610">
        <f t="shared" si="6"/>
        <v>379</v>
      </c>
      <c r="AN21" s="611">
        <f t="shared" si="7"/>
        <v>2</v>
      </c>
      <c r="AO21" s="612">
        <f t="shared" si="8"/>
        <v>5.2770448548812663E-3</v>
      </c>
    </row>
    <row r="22" spans="1:41" x14ac:dyDescent="0.2">
      <c r="A22" s="502">
        <v>195</v>
      </c>
      <c r="B22" s="503">
        <v>0.375</v>
      </c>
      <c r="C22" s="504">
        <v>2013</v>
      </c>
      <c r="D22" s="504">
        <v>3</v>
      </c>
      <c r="E22" s="504">
        <v>20</v>
      </c>
      <c r="F22" s="505">
        <v>536532</v>
      </c>
      <c r="G22" s="504">
        <v>0</v>
      </c>
      <c r="H22" s="505">
        <v>23336</v>
      </c>
      <c r="I22" s="504">
        <v>0</v>
      </c>
      <c r="J22" s="504">
        <v>0</v>
      </c>
      <c r="K22" s="504">
        <v>0</v>
      </c>
      <c r="L22" s="506">
        <v>321.86180000000002</v>
      </c>
      <c r="M22" s="505">
        <v>19.3</v>
      </c>
      <c r="N22" s="507">
        <v>0</v>
      </c>
      <c r="O22" s="508">
        <v>335</v>
      </c>
      <c r="P22" s="493">
        <f t="shared" si="0"/>
        <v>335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335</v>
      </c>
      <c r="W22" s="515">
        <f t="shared" si="10"/>
        <v>11830.41445</v>
      </c>
      <c r="Y22" s="513">
        <f t="shared" si="11"/>
        <v>2.9322159416664215</v>
      </c>
      <c r="Z22" s="510">
        <f t="shared" si="12"/>
        <v>12.276601704568973</v>
      </c>
      <c r="AA22" s="511">
        <f t="shared" si="13"/>
        <v>11.635940283242174</v>
      </c>
      <c r="AE22" s="598" t="str">
        <f t="shared" si="3"/>
        <v>536532</v>
      </c>
      <c r="AF22" s="502">
        <v>195</v>
      </c>
      <c r="AG22" s="606">
        <v>20</v>
      </c>
      <c r="AH22" s="607">
        <v>536532</v>
      </c>
      <c r="AI22" s="608">
        <f t="shared" si="4"/>
        <v>536532</v>
      </c>
      <c r="AJ22" s="609">
        <f t="shared" si="5"/>
        <v>0</v>
      </c>
      <c r="AL22" s="602">
        <f t="shared" si="6"/>
        <v>335</v>
      </c>
      <c r="AM22" s="610">
        <f t="shared" si="6"/>
        <v>335</v>
      </c>
      <c r="AN22" s="611">
        <f t="shared" si="7"/>
        <v>0</v>
      </c>
      <c r="AO22" s="612">
        <f t="shared" si="8"/>
        <v>0</v>
      </c>
    </row>
    <row r="23" spans="1:41" x14ac:dyDescent="0.2">
      <c r="A23" s="502">
        <v>195</v>
      </c>
      <c r="B23" s="503">
        <v>0.375</v>
      </c>
      <c r="C23" s="504">
        <v>2013</v>
      </c>
      <c r="D23" s="504">
        <v>3</v>
      </c>
      <c r="E23" s="504">
        <v>21</v>
      </c>
      <c r="F23" s="505">
        <v>536867</v>
      </c>
      <c r="G23" s="504">
        <v>0</v>
      </c>
      <c r="H23" s="505">
        <v>23351</v>
      </c>
      <c r="I23" s="504">
        <v>0</v>
      </c>
      <c r="J23" s="504">
        <v>0</v>
      </c>
      <c r="K23" s="504">
        <v>0</v>
      </c>
      <c r="L23" s="506">
        <v>321.10399999999998</v>
      </c>
      <c r="M23" s="505">
        <v>18.8</v>
      </c>
      <c r="N23" s="507">
        <v>0</v>
      </c>
      <c r="O23" s="508">
        <v>391</v>
      </c>
      <c r="P23" s="493">
        <f t="shared" si="0"/>
        <v>391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391</v>
      </c>
      <c r="W23" s="515">
        <f t="shared" si="10"/>
        <v>13808.035969999999</v>
      </c>
      <c r="Y23" s="513">
        <f t="shared" si="11"/>
        <v>3.4223774125121516</v>
      </c>
      <c r="Z23" s="510">
        <f t="shared" si="12"/>
        <v>14.328809750705878</v>
      </c>
      <c r="AA23" s="511">
        <f t="shared" si="13"/>
        <v>13.581052688799074</v>
      </c>
      <c r="AE23" s="598" t="str">
        <f t="shared" si="3"/>
        <v>536867</v>
      </c>
      <c r="AF23" s="502">
        <v>195</v>
      </c>
      <c r="AG23" s="606">
        <v>21</v>
      </c>
      <c r="AH23" s="607">
        <v>536867</v>
      </c>
      <c r="AI23" s="608">
        <f t="shared" si="4"/>
        <v>536867</v>
      </c>
      <c r="AJ23" s="609">
        <f t="shared" si="5"/>
        <v>0</v>
      </c>
      <c r="AL23" s="602">
        <f t="shared" si="6"/>
        <v>391</v>
      </c>
      <c r="AM23" s="610">
        <f t="shared" si="6"/>
        <v>391</v>
      </c>
      <c r="AN23" s="611">
        <f t="shared" si="7"/>
        <v>0</v>
      </c>
      <c r="AO23" s="612">
        <f t="shared" si="8"/>
        <v>0</v>
      </c>
    </row>
    <row r="24" spans="1:41" x14ac:dyDescent="0.2">
      <c r="A24" s="502">
        <v>195</v>
      </c>
      <c r="B24" s="503">
        <v>0.375</v>
      </c>
      <c r="C24" s="504">
        <v>2013</v>
      </c>
      <c r="D24" s="504">
        <v>3</v>
      </c>
      <c r="E24" s="504">
        <v>22</v>
      </c>
      <c r="F24" s="505">
        <v>537258</v>
      </c>
      <c r="G24" s="504">
        <v>0</v>
      </c>
      <c r="H24" s="505">
        <v>23367</v>
      </c>
      <c r="I24" s="504">
        <v>0</v>
      </c>
      <c r="J24" s="504">
        <v>0</v>
      </c>
      <c r="K24" s="504">
        <v>0</v>
      </c>
      <c r="L24" s="506">
        <v>320.16489999999999</v>
      </c>
      <c r="M24" s="505">
        <v>19.8</v>
      </c>
      <c r="N24" s="507">
        <v>0</v>
      </c>
      <c r="O24" s="508">
        <v>456</v>
      </c>
      <c r="P24" s="493">
        <f t="shared" si="0"/>
        <v>456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456</v>
      </c>
      <c r="W24" s="515">
        <f t="shared" si="10"/>
        <v>16103.489519999999</v>
      </c>
      <c r="Y24" s="513">
        <f t="shared" si="11"/>
        <v>3.991314834029517</v>
      </c>
      <c r="Z24" s="510">
        <f t="shared" si="12"/>
        <v>16.710836947114782</v>
      </c>
      <c r="AA24" s="511">
        <f t="shared" si="13"/>
        <v>15.838772445249047</v>
      </c>
      <c r="AE24" s="598" t="str">
        <f t="shared" si="3"/>
        <v>537258</v>
      </c>
      <c r="AF24" s="502">
        <v>195</v>
      </c>
      <c r="AG24" s="606">
        <v>22</v>
      </c>
      <c r="AH24" s="607">
        <v>537258</v>
      </c>
      <c r="AI24" s="608">
        <f t="shared" si="4"/>
        <v>537258</v>
      </c>
      <c r="AJ24" s="609">
        <f t="shared" si="5"/>
        <v>0</v>
      </c>
      <c r="AL24" s="602">
        <f t="shared" si="6"/>
        <v>456</v>
      </c>
      <c r="AM24" s="610">
        <f t="shared" si="6"/>
        <v>456</v>
      </c>
      <c r="AN24" s="611">
        <f t="shared" si="7"/>
        <v>0</v>
      </c>
      <c r="AO24" s="612">
        <f t="shared" si="8"/>
        <v>0</v>
      </c>
    </row>
    <row r="25" spans="1:41" x14ac:dyDescent="0.2">
      <c r="A25" s="502">
        <v>195</v>
      </c>
      <c r="B25" s="503">
        <v>0.375</v>
      </c>
      <c r="C25" s="504">
        <v>2013</v>
      </c>
      <c r="D25" s="504">
        <v>3</v>
      </c>
      <c r="E25" s="504">
        <v>23</v>
      </c>
      <c r="F25" s="505">
        <v>537714</v>
      </c>
      <c r="G25" s="504">
        <v>0</v>
      </c>
      <c r="H25" s="505">
        <v>23387</v>
      </c>
      <c r="I25" s="504">
        <v>0</v>
      </c>
      <c r="J25" s="504">
        <v>0</v>
      </c>
      <c r="K25" s="504">
        <v>0</v>
      </c>
      <c r="L25" s="506">
        <v>321.01510000000002</v>
      </c>
      <c r="M25" s="505">
        <v>19.8</v>
      </c>
      <c r="N25" s="507">
        <v>0</v>
      </c>
      <c r="O25" s="508">
        <v>186</v>
      </c>
      <c r="P25" s="493">
        <f t="shared" si="0"/>
        <v>186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186</v>
      </c>
      <c r="W25" s="515">
        <f t="shared" si="10"/>
        <v>6568.52862</v>
      </c>
      <c r="Y25" s="513">
        <f t="shared" si="11"/>
        <v>1.6280363138804608</v>
      </c>
      <c r="Z25" s="510">
        <f t="shared" si="12"/>
        <v>6.8162624389547135</v>
      </c>
      <c r="AA25" s="511">
        <f t="shared" si="13"/>
        <v>6.460551918456849</v>
      </c>
      <c r="AE25" s="598" t="str">
        <f t="shared" si="3"/>
        <v>537714</v>
      </c>
      <c r="AF25" s="502">
        <v>195</v>
      </c>
      <c r="AG25" s="606">
        <v>23</v>
      </c>
      <c r="AH25" s="607">
        <v>537714</v>
      </c>
      <c r="AI25" s="608">
        <f t="shared" si="4"/>
        <v>537714</v>
      </c>
      <c r="AJ25" s="609">
        <f t="shared" si="5"/>
        <v>0</v>
      </c>
      <c r="AL25" s="602">
        <f t="shared" si="6"/>
        <v>203</v>
      </c>
      <c r="AM25" s="610">
        <f t="shared" si="6"/>
        <v>186</v>
      </c>
      <c r="AN25" s="611">
        <f t="shared" si="7"/>
        <v>-17</v>
      </c>
      <c r="AO25" s="612">
        <f t="shared" si="8"/>
        <v>-9.1397849462365593E-2</v>
      </c>
    </row>
    <row r="26" spans="1:41" x14ac:dyDescent="0.2">
      <c r="A26" s="502">
        <v>195</v>
      </c>
      <c r="B26" s="503">
        <v>0.375</v>
      </c>
      <c r="C26" s="504">
        <v>2013</v>
      </c>
      <c r="D26" s="504">
        <v>3</v>
      </c>
      <c r="E26" s="504">
        <v>24</v>
      </c>
      <c r="F26" s="505">
        <v>537900</v>
      </c>
      <c r="G26" s="504">
        <v>0</v>
      </c>
      <c r="H26" s="505">
        <v>23395</v>
      </c>
      <c r="I26" s="504">
        <v>0</v>
      </c>
      <c r="J26" s="504">
        <v>0</v>
      </c>
      <c r="K26" s="504">
        <v>0</v>
      </c>
      <c r="L26" s="506">
        <v>324.97539999999998</v>
      </c>
      <c r="M26" s="505">
        <v>21.4</v>
      </c>
      <c r="N26" s="507">
        <v>0</v>
      </c>
      <c r="O26" s="508">
        <v>346</v>
      </c>
      <c r="P26" s="493">
        <f t="shared" si="0"/>
        <v>346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346</v>
      </c>
      <c r="W26" s="515">
        <f t="shared" si="10"/>
        <v>12218.875819999999</v>
      </c>
      <c r="Y26" s="513">
        <f t="shared" si="11"/>
        <v>3.0284976591539756</v>
      </c>
      <c r="Z26" s="510">
        <f t="shared" si="12"/>
        <v>12.679713999345864</v>
      </c>
      <c r="AA26" s="511">
        <f t="shared" si="13"/>
        <v>12.018015934333706</v>
      </c>
      <c r="AE26" s="598" t="str">
        <f t="shared" si="3"/>
        <v>537900</v>
      </c>
      <c r="AF26" s="502">
        <v>195</v>
      </c>
      <c r="AG26" s="606">
        <v>24</v>
      </c>
      <c r="AH26" s="607">
        <v>537917</v>
      </c>
      <c r="AI26" s="608">
        <f t="shared" si="4"/>
        <v>537900</v>
      </c>
      <c r="AJ26" s="609">
        <f t="shared" si="5"/>
        <v>-17</v>
      </c>
      <c r="AL26" s="602">
        <f t="shared" si="6"/>
        <v>329</v>
      </c>
      <c r="AM26" s="610">
        <f t="shared" si="6"/>
        <v>346</v>
      </c>
      <c r="AN26" s="611">
        <f t="shared" si="7"/>
        <v>17</v>
      </c>
      <c r="AO26" s="612">
        <f t="shared" si="8"/>
        <v>4.9132947976878616E-2</v>
      </c>
    </row>
    <row r="27" spans="1:41" x14ac:dyDescent="0.2">
      <c r="A27" s="502">
        <v>195</v>
      </c>
      <c r="B27" s="503">
        <v>0.375</v>
      </c>
      <c r="C27" s="504">
        <v>2013</v>
      </c>
      <c r="D27" s="504">
        <v>3</v>
      </c>
      <c r="E27" s="504">
        <v>25</v>
      </c>
      <c r="F27" s="505">
        <v>538246</v>
      </c>
      <c r="G27" s="504">
        <v>0</v>
      </c>
      <c r="H27" s="505">
        <v>23409</v>
      </c>
      <c r="I27" s="504">
        <v>0</v>
      </c>
      <c r="J27" s="504">
        <v>0</v>
      </c>
      <c r="K27" s="504">
        <v>0</v>
      </c>
      <c r="L27" s="506">
        <v>325.4504</v>
      </c>
      <c r="M27" s="505">
        <v>20.5</v>
      </c>
      <c r="N27" s="507">
        <v>0</v>
      </c>
      <c r="O27" s="508">
        <v>331</v>
      </c>
      <c r="P27" s="493">
        <f t="shared" si="0"/>
        <v>331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331</v>
      </c>
      <c r="W27" s="515">
        <f t="shared" si="10"/>
        <v>11689.155769999999</v>
      </c>
      <c r="Y27" s="513">
        <f t="shared" si="11"/>
        <v>2.8972044080345833</v>
      </c>
      <c r="Z27" s="510">
        <f t="shared" si="12"/>
        <v>12.130015415559194</v>
      </c>
      <c r="AA27" s="511">
        <f t="shared" si="13"/>
        <v>11.497003682845252</v>
      </c>
      <c r="AE27" s="598" t="str">
        <f t="shared" si="3"/>
        <v>538246</v>
      </c>
      <c r="AF27" s="502">
        <v>195</v>
      </c>
      <c r="AG27" s="606">
        <v>25</v>
      </c>
      <c r="AH27" s="607">
        <v>538246</v>
      </c>
      <c r="AI27" s="608">
        <f t="shared" si="4"/>
        <v>538246</v>
      </c>
      <c r="AJ27" s="609">
        <f t="shared" si="5"/>
        <v>0</v>
      </c>
      <c r="AL27" s="602">
        <f t="shared" si="6"/>
        <v>331</v>
      </c>
      <c r="AM27" s="610">
        <f t="shared" si="6"/>
        <v>331</v>
      </c>
      <c r="AN27" s="611">
        <f t="shared" si="7"/>
        <v>0</v>
      </c>
      <c r="AO27" s="612">
        <f t="shared" si="8"/>
        <v>0</v>
      </c>
    </row>
    <row r="28" spans="1:41" x14ac:dyDescent="0.2">
      <c r="A28" s="502">
        <v>195</v>
      </c>
      <c r="B28" s="503">
        <v>0.375</v>
      </c>
      <c r="C28" s="504">
        <v>2013</v>
      </c>
      <c r="D28" s="504">
        <v>3</v>
      </c>
      <c r="E28" s="504">
        <v>26</v>
      </c>
      <c r="F28" s="505">
        <v>538577</v>
      </c>
      <c r="G28" s="504">
        <v>0</v>
      </c>
      <c r="H28" s="505">
        <v>23423</v>
      </c>
      <c r="I28" s="504">
        <v>0</v>
      </c>
      <c r="J28" s="504">
        <v>0</v>
      </c>
      <c r="K28" s="504">
        <v>0</v>
      </c>
      <c r="L28" s="506">
        <v>320.35809999999998</v>
      </c>
      <c r="M28" s="505">
        <v>19</v>
      </c>
      <c r="N28" s="507">
        <v>0</v>
      </c>
      <c r="O28" s="508">
        <v>447</v>
      </c>
      <c r="P28" s="493">
        <f t="shared" si="0"/>
        <v>447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447</v>
      </c>
      <c r="W28" s="515">
        <f t="shared" si="10"/>
        <v>15785.65749</v>
      </c>
      <c r="Y28" s="513">
        <f t="shared" si="11"/>
        <v>3.912538883357882</v>
      </c>
      <c r="Z28" s="510">
        <f t="shared" si="12"/>
        <v>16.38101779684278</v>
      </c>
      <c r="AA28" s="511">
        <f t="shared" si="13"/>
        <v>15.526165094355974</v>
      </c>
      <c r="AE28" s="598" t="str">
        <f t="shared" si="3"/>
        <v>538577</v>
      </c>
      <c r="AF28" s="502">
        <v>195</v>
      </c>
      <c r="AG28" s="606">
        <v>26</v>
      </c>
      <c r="AH28" s="607">
        <v>538577</v>
      </c>
      <c r="AI28" s="608">
        <f t="shared" si="4"/>
        <v>538577</v>
      </c>
      <c r="AJ28" s="609">
        <f t="shared" si="5"/>
        <v>0</v>
      </c>
      <c r="AL28" s="602">
        <f t="shared" si="6"/>
        <v>447</v>
      </c>
      <c r="AM28" s="610">
        <f t="shared" si="6"/>
        <v>447</v>
      </c>
      <c r="AN28" s="611">
        <f t="shared" si="7"/>
        <v>0</v>
      </c>
      <c r="AO28" s="612">
        <f t="shared" si="8"/>
        <v>0</v>
      </c>
    </row>
    <row r="29" spans="1:41" x14ac:dyDescent="0.2">
      <c r="A29" s="502">
        <v>195</v>
      </c>
      <c r="B29" s="503">
        <v>0.375</v>
      </c>
      <c r="C29" s="504">
        <v>2013</v>
      </c>
      <c r="D29" s="504">
        <v>3</v>
      </c>
      <c r="E29" s="504">
        <v>27</v>
      </c>
      <c r="F29" s="505">
        <v>539024</v>
      </c>
      <c r="G29" s="504">
        <v>0</v>
      </c>
      <c r="H29" s="505">
        <v>23442</v>
      </c>
      <c r="I29" s="504">
        <v>0</v>
      </c>
      <c r="J29" s="504">
        <v>0</v>
      </c>
      <c r="K29" s="504">
        <v>0</v>
      </c>
      <c r="L29" s="506">
        <v>320.44720000000001</v>
      </c>
      <c r="M29" s="505">
        <v>15.3</v>
      </c>
      <c r="N29" s="507">
        <v>0</v>
      </c>
      <c r="O29" s="508">
        <v>2</v>
      </c>
      <c r="P29" s="493">
        <f t="shared" si="0"/>
        <v>2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2</v>
      </c>
      <c r="W29" s="515">
        <f t="shared" si="10"/>
        <v>70.629339999999999</v>
      </c>
      <c r="Y29" s="513">
        <f t="shared" si="11"/>
        <v>1.7505766815918936E-2</v>
      </c>
      <c r="Z29" s="510">
        <f t="shared" si="12"/>
        <v>7.3293144504889399E-2</v>
      </c>
      <c r="AA29" s="511">
        <f t="shared" si="13"/>
        <v>6.9468300198460745E-2</v>
      </c>
      <c r="AE29" s="598" t="str">
        <f t="shared" si="3"/>
        <v>539024</v>
      </c>
      <c r="AF29" s="502">
        <v>195</v>
      </c>
      <c r="AG29" s="606">
        <v>27</v>
      </c>
      <c r="AH29" s="607">
        <v>539024</v>
      </c>
      <c r="AI29" s="608">
        <f t="shared" si="4"/>
        <v>539024</v>
      </c>
      <c r="AJ29" s="609">
        <f t="shared" si="5"/>
        <v>0</v>
      </c>
      <c r="AL29" s="602">
        <f t="shared" si="6"/>
        <v>2</v>
      </c>
      <c r="AM29" s="610">
        <f t="shared" si="6"/>
        <v>2</v>
      </c>
      <c r="AN29" s="611">
        <f t="shared" si="7"/>
        <v>0</v>
      </c>
      <c r="AO29" s="612">
        <f t="shared" si="8"/>
        <v>0</v>
      </c>
    </row>
    <row r="30" spans="1:41" x14ac:dyDescent="0.2">
      <c r="A30" s="502">
        <v>195</v>
      </c>
      <c r="B30" s="503">
        <v>0.375</v>
      </c>
      <c r="C30" s="504">
        <v>2013</v>
      </c>
      <c r="D30" s="504">
        <v>3</v>
      </c>
      <c r="E30" s="504">
        <v>28</v>
      </c>
      <c r="F30" s="505">
        <v>539026</v>
      </c>
      <c r="G30" s="504">
        <v>0</v>
      </c>
      <c r="H30" s="505">
        <v>23442</v>
      </c>
      <c r="I30" s="504">
        <v>0</v>
      </c>
      <c r="J30" s="504">
        <v>0</v>
      </c>
      <c r="K30" s="504">
        <v>0</v>
      </c>
      <c r="L30" s="506">
        <v>323.51499999999999</v>
      </c>
      <c r="M30" s="505">
        <v>19.3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539026</v>
      </c>
      <c r="AF30" s="502">
        <v>195</v>
      </c>
      <c r="AG30" s="606">
        <v>28</v>
      </c>
      <c r="AH30" s="607">
        <v>539026</v>
      </c>
      <c r="AI30" s="608">
        <f t="shared" si="4"/>
        <v>539026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195</v>
      </c>
      <c r="B31" s="503">
        <v>0.375</v>
      </c>
      <c r="C31" s="504">
        <v>2013</v>
      </c>
      <c r="D31" s="504">
        <v>3</v>
      </c>
      <c r="E31" s="504">
        <v>29</v>
      </c>
      <c r="F31" s="505">
        <v>539026</v>
      </c>
      <c r="G31" s="504">
        <v>0</v>
      </c>
      <c r="H31" s="505">
        <v>23442</v>
      </c>
      <c r="I31" s="504">
        <v>0</v>
      </c>
      <c r="J31" s="504">
        <v>0</v>
      </c>
      <c r="K31" s="504">
        <v>0</v>
      </c>
      <c r="L31" s="506">
        <v>326.89830000000001</v>
      </c>
      <c r="M31" s="505">
        <v>19.3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539026</v>
      </c>
      <c r="AF31" s="502">
        <v>195</v>
      </c>
      <c r="AG31" s="606">
        <v>29</v>
      </c>
      <c r="AH31" s="607">
        <v>539026</v>
      </c>
      <c r="AI31" s="608">
        <f t="shared" si="4"/>
        <v>539026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195</v>
      </c>
      <c r="B32" s="503">
        <v>0.375</v>
      </c>
      <c r="C32" s="504">
        <v>2013</v>
      </c>
      <c r="D32" s="504">
        <v>3</v>
      </c>
      <c r="E32" s="504">
        <v>30</v>
      </c>
      <c r="F32" s="505">
        <v>539026</v>
      </c>
      <c r="G32" s="504">
        <v>0</v>
      </c>
      <c r="H32" s="505">
        <v>23442</v>
      </c>
      <c r="I32" s="504">
        <v>0</v>
      </c>
      <c r="J32" s="504">
        <v>0</v>
      </c>
      <c r="K32" s="504">
        <v>0</v>
      </c>
      <c r="L32" s="506">
        <v>326.7294</v>
      </c>
      <c r="M32" s="505">
        <v>21</v>
      </c>
      <c r="N32" s="507">
        <v>0</v>
      </c>
      <c r="O32" s="508">
        <v>3</v>
      </c>
      <c r="P32" s="493">
        <f t="shared" si="0"/>
        <v>3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3</v>
      </c>
      <c r="W32" s="515">
        <f t="shared" si="10"/>
        <v>105.94400999999999</v>
      </c>
      <c r="Y32" s="513">
        <f t="shared" si="11"/>
        <v>2.62586502238784E-2</v>
      </c>
      <c r="Z32" s="510">
        <f t="shared" si="12"/>
        <v>0.1099397167573341</v>
      </c>
      <c r="AA32" s="511">
        <f t="shared" si="13"/>
        <v>0.1042024502976911</v>
      </c>
      <c r="AE32" s="598" t="str">
        <f t="shared" si="3"/>
        <v>539026</v>
      </c>
      <c r="AF32" s="502">
        <v>195</v>
      </c>
      <c r="AG32" s="606">
        <v>30</v>
      </c>
      <c r="AH32" s="607">
        <v>539026</v>
      </c>
      <c r="AI32" s="608">
        <f t="shared" si="4"/>
        <v>539026</v>
      </c>
      <c r="AJ32" s="609">
        <f t="shared" si="5"/>
        <v>0</v>
      </c>
      <c r="AL32" s="602">
        <f t="shared" si="6"/>
        <v>3</v>
      </c>
      <c r="AM32" s="610">
        <f t="shared" si="6"/>
        <v>3</v>
      </c>
      <c r="AN32" s="611">
        <f t="shared" si="7"/>
        <v>0</v>
      </c>
      <c r="AO32" s="612">
        <f t="shared" si="8"/>
        <v>0</v>
      </c>
    </row>
    <row r="33" spans="1:41" ht="13.5" thickBot="1" x14ac:dyDescent="0.25">
      <c r="A33" s="502">
        <v>195</v>
      </c>
      <c r="B33" s="503">
        <v>0.375</v>
      </c>
      <c r="C33" s="504">
        <v>2013</v>
      </c>
      <c r="D33" s="504">
        <v>3</v>
      </c>
      <c r="E33" s="504">
        <v>31</v>
      </c>
      <c r="F33" s="505">
        <v>539029</v>
      </c>
      <c r="G33" s="504">
        <v>0</v>
      </c>
      <c r="H33" s="505">
        <v>23443</v>
      </c>
      <c r="I33" s="504">
        <v>0</v>
      </c>
      <c r="J33" s="504">
        <v>0</v>
      </c>
      <c r="K33" s="504">
        <v>0</v>
      </c>
      <c r="L33" s="506">
        <v>326.6268</v>
      </c>
      <c r="M33" s="505">
        <v>21.4</v>
      </c>
      <c r="N33" s="507">
        <v>0</v>
      </c>
      <c r="O33" s="508">
        <v>0</v>
      </c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>539029</v>
      </c>
      <c r="AF33" s="502">
        <v>195</v>
      </c>
      <c r="AG33" s="606">
        <v>31</v>
      </c>
      <c r="AH33" s="607">
        <v>539029</v>
      </c>
      <c r="AI33" s="608">
        <f t="shared" si="4"/>
        <v>539029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>
        <v>195</v>
      </c>
      <c r="B34" s="520">
        <v>0.375</v>
      </c>
      <c r="C34" s="146">
        <v>2013</v>
      </c>
      <c r="D34" s="146">
        <v>4</v>
      </c>
      <c r="E34" s="146">
        <v>1</v>
      </c>
      <c r="F34" s="521">
        <v>539029</v>
      </c>
      <c r="G34" s="146">
        <v>0</v>
      </c>
      <c r="H34" s="521">
        <v>23443</v>
      </c>
      <c r="I34" s="146">
        <v>0</v>
      </c>
      <c r="J34" s="146">
        <v>0</v>
      </c>
      <c r="K34" s="146">
        <v>0</v>
      </c>
      <c r="L34" s="522">
        <v>325.57729999999998</v>
      </c>
      <c r="M34" s="521">
        <v>22.1</v>
      </c>
      <c r="N34" s="523">
        <v>0</v>
      </c>
      <c r="O34" s="524">
        <v>57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539029</v>
      </c>
      <c r="AF34" s="148">
        <v>195</v>
      </c>
      <c r="AG34" s="614">
        <v>1</v>
      </c>
      <c r="AH34" s="615">
        <v>539029</v>
      </c>
      <c r="AI34" s="616">
        <f t="shared" si="4"/>
        <v>539029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328.68639999999999</v>
      </c>
      <c r="M36" s="535">
        <f>MAX(M3:M34)</f>
        <v>22.82</v>
      </c>
      <c r="N36" s="533" t="s">
        <v>68</v>
      </c>
      <c r="O36" s="535">
        <f>SUM(O3:O33)</f>
        <v>7441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7441</v>
      </c>
      <c r="W36" s="539">
        <f>SUM(W3:W33)</f>
        <v>262776.45946999994</v>
      </c>
      <c r="Y36" s="540">
        <f>SUM(Y3:Y33)</f>
        <v>64.833908109076503</v>
      </c>
      <c r="Z36" s="541">
        <f>SUM(Z3:Z33)</f>
        <v>271.44660647108151</v>
      </c>
      <c r="AA36" s="542">
        <f>SUM(AA3:AA33)</f>
        <v>257.28101139020691</v>
      </c>
      <c r="AF36" s="621" t="s">
        <v>208</v>
      </c>
      <c r="AG36" s="534">
        <f>COUNT(AG3:AG34)</f>
        <v>31</v>
      </c>
      <c r="AJ36" s="622">
        <f>SUM(AJ3:AJ33)</f>
        <v>535109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315.82635312500003</v>
      </c>
      <c r="M37" s="543">
        <f>AVERAGE(M3:M34)</f>
        <v>17.550625000000004</v>
      </c>
      <c r="N37" s="533" t="s">
        <v>172</v>
      </c>
      <c r="O37" s="544">
        <f>O36*35.31467</f>
        <v>262776.45947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1</v>
      </c>
      <c r="AN37" s="627">
        <f>IFERROR(AN36/SUM(AM3:AM33),"")</f>
        <v>0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100.73099999999999</v>
      </c>
      <c r="M38" s="544">
        <f>MIN(M3:M34)</f>
        <v>7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347.40898843750006</v>
      </c>
      <c r="M44" s="551">
        <f>M37*(1+$L$43)</f>
        <v>19.305687500000005</v>
      </c>
    </row>
    <row r="45" spans="1:41" x14ac:dyDescent="0.2">
      <c r="K45" s="550" t="s">
        <v>186</v>
      </c>
      <c r="L45" s="551">
        <f>L37*(1-$L$43)</f>
        <v>284.24371781250005</v>
      </c>
      <c r="M45" s="551">
        <f>M37*(1-$L$43)</f>
        <v>15.795562500000004</v>
      </c>
    </row>
    <row r="47" spans="1:41" x14ac:dyDescent="0.2">
      <c r="A47" s="533" t="s">
        <v>187</v>
      </c>
      <c r="B47" s="688" t="s">
        <v>238</v>
      </c>
    </row>
    <row r="48" spans="1:41" x14ac:dyDescent="0.2">
      <c r="A48" s="533" t="s">
        <v>189</v>
      </c>
      <c r="B48" s="553">
        <v>41199</v>
      </c>
    </row>
  </sheetData>
  <phoneticPr fontId="0" type="noConversion"/>
  <conditionalFormatting sqref="L3:L34">
    <cfRule type="cellIs" dxfId="1583" priority="47" stopIfTrue="1" operator="lessThan">
      <formula>$L$45</formula>
    </cfRule>
    <cfRule type="cellIs" dxfId="1582" priority="48" stopIfTrue="1" operator="greaterThan">
      <formula>$L$44</formula>
    </cfRule>
  </conditionalFormatting>
  <conditionalFormatting sqref="M3:M34">
    <cfRule type="cellIs" dxfId="1581" priority="45" stopIfTrue="1" operator="lessThan">
      <formula>$M$45</formula>
    </cfRule>
    <cfRule type="cellIs" dxfId="1580" priority="46" stopIfTrue="1" operator="greaterThan">
      <formula>$M$44</formula>
    </cfRule>
  </conditionalFormatting>
  <conditionalFormatting sqref="O3:O34">
    <cfRule type="cellIs" dxfId="1579" priority="44" stopIfTrue="1" operator="lessThan">
      <formula>0</formula>
    </cfRule>
  </conditionalFormatting>
  <conditionalFormatting sqref="O3:O33">
    <cfRule type="cellIs" dxfId="1578" priority="43" stopIfTrue="1" operator="lessThan">
      <formula>0</formula>
    </cfRule>
  </conditionalFormatting>
  <conditionalFormatting sqref="O3">
    <cfRule type="cellIs" dxfId="1577" priority="42" stopIfTrue="1" operator="notEqual">
      <formula>$P$3</formula>
    </cfRule>
  </conditionalFormatting>
  <conditionalFormatting sqref="O4">
    <cfRule type="cellIs" dxfId="1576" priority="41" stopIfTrue="1" operator="notEqual">
      <formula>P$4</formula>
    </cfRule>
  </conditionalFormatting>
  <conditionalFormatting sqref="O5">
    <cfRule type="cellIs" dxfId="1575" priority="40" stopIfTrue="1" operator="notEqual">
      <formula>$P$5</formula>
    </cfRule>
  </conditionalFormatting>
  <conditionalFormatting sqref="O6">
    <cfRule type="cellIs" dxfId="1574" priority="39" stopIfTrue="1" operator="notEqual">
      <formula>$P$6</formula>
    </cfRule>
  </conditionalFormatting>
  <conditionalFormatting sqref="O7">
    <cfRule type="cellIs" dxfId="1573" priority="38" stopIfTrue="1" operator="notEqual">
      <formula>$P$7</formula>
    </cfRule>
  </conditionalFormatting>
  <conditionalFormatting sqref="O8">
    <cfRule type="cellIs" dxfId="1572" priority="37" stopIfTrue="1" operator="notEqual">
      <formula>$P$8</formula>
    </cfRule>
  </conditionalFormatting>
  <conditionalFormatting sqref="O9">
    <cfRule type="cellIs" dxfId="1571" priority="36" stopIfTrue="1" operator="notEqual">
      <formula>$P$9</formula>
    </cfRule>
  </conditionalFormatting>
  <conditionalFormatting sqref="O10">
    <cfRule type="cellIs" dxfId="1570" priority="34" stopIfTrue="1" operator="notEqual">
      <formula>$P$10</formula>
    </cfRule>
    <cfRule type="cellIs" dxfId="1569" priority="35" stopIfTrue="1" operator="greaterThan">
      <formula>$P$10</formula>
    </cfRule>
  </conditionalFormatting>
  <conditionalFormatting sqref="O11">
    <cfRule type="cellIs" dxfId="1568" priority="32" stopIfTrue="1" operator="notEqual">
      <formula>$P$11</formula>
    </cfRule>
    <cfRule type="cellIs" dxfId="1567" priority="33" stopIfTrue="1" operator="greaterThan">
      <formula>$P$11</formula>
    </cfRule>
  </conditionalFormatting>
  <conditionalFormatting sqref="O12">
    <cfRule type="cellIs" dxfId="1566" priority="31" stopIfTrue="1" operator="notEqual">
      <formula>$P$12</formula>
    </cfRule>
  </conditionalFormatting>
  <conditionalFormatting sqref="O14">
    <cfRule type="cellIs" dxfId="1565" priority="30" stopIfTrue="1" operator="notEqual">
      <formula>$P$14</formula>
    </cfRule>
  </conditionalFormatting>
  <conditionalFormatting sqref="O15">
    <cfRule type="cellIs" dxfId="1564" priority="29" stopIfTrue="1" operator="notEqual">
      <formula>$P$15</formula>
    </cfRule>
  </conditionalFormatting>
  <conditionalFormatting sqref="O16">
    <cfRule type="cellIs" dxfId="1563" priority="28" stopIfTrue="1" operator="notEqual">
      <formula>$P$16</formula>
    </cfRule>
  </conditionalFormatting>
  <conditionalFormatting sqref="O17">
    <cfRule type="cellIs" dxfId="1562" priority="27" stopIfTrue="1" operator="notEqual">
      <formula>$P$17</formula>
    </cfRule>
  </conditionalFormatting>
  <conditionalFormatting sqref="O18">
    <cfRule type="cellIs" dxfId="1561" priority="26" stopIfTrue="1" operator="notEqual">
      <formula>$P$18</formula>
    </cfRule>
  </conditionalFormatting>
  <conditionalFormatting sqref="O19">
    <cfRule type="cellIs" dxfId="1560" priority="24" stopIfTrue="1" operator="notEqual">
      <formula>$P$19</formula>
    </cfRule>
    <cfRule type="cellIs" dxfId="1559" priority="25" stopIfTrue="1" operator="greaterThan">
      <formula>$P$19</formula>
    </cfRule>
  </conditionalFormatting>
  <conditionalFormatting sqref="O20">
    <cfRule type="cellIs" dxfId="1558" priority="22" stopIfTrue="1" operator="notEqual">
      <formula>$P$20</formula>
    </cfRule>
    <cfRule type="cellIs" dxfId="1557" priority="23" stopIfTrue="1" operator="greaterThan">
      <formula>$P$20</formula>
    </cfRule>
  </conditionalFormatting>
  <conditionalFormatting sqref="O21">
    <cfRule type="cellIs" dxfId="1556" priority="21" stopIfTrue="1" operator="notEqual">
      <formula>$P$21</formula>
    </cfRule>
  </conditionalFormatting>
  <conditionalFormatting sqref="O22">
    <cfRule type="cellIs" dxfId="1555" priority="20" stopIfTrue="1" operator="notEqual">
      <formula>$P$22</formula>
    </cfRule>
  </conditionalFormatting>
  <conditionalFormatting sqref="O23">
    <cfRule type="cellIs" dxfId="1554" priority="19" stopIfTrue="1" operator="notEqual">
      <formula>$P$23</formula>
    </cfRule>
  </conditionalFormatting>
  <conditionalFormatting sqref="O24">
    <cfRule type="cellIs" dxfId="1553" priority="17" stopIfTrue="1" operator="notEqual">
      <formula>$P$24</formula>
    </cfRule>
    <cfRule type="cellIs" dxfId="1552" priority="18" stopIfTrue="1" operator="greaterThan">
      <formula>$P$24</formula>
    </cfRule>
  </conditionalFormatting>
  <conditionalFormatting sqref="O25">
    <cfRule type="cellIs" dxfId="1551" priority="15" stopIfTrue="1" operator="notEqual">
      <formula>$P$25</formula>
    </cfRule>
    <cfRule type="cellIs" dxfId="1550" priority="16" stopIfTrue="1" operator="greaterThan">
      <formula>$P$25</formula>
    </cfRule>
  </conditionalFormatting>
  <conditionalFormatting sqref="O26">
    <cfRule type="cellIs" dxfId="1549" priority="14" stopIfTrue="1" operator="notEqual">
      <formula>$P$26</formula>
    </cfRule>
  </conditionalFormatting>
  <conditionalFormatting sqref="O27">
    <cfRule type="cellIs" dxfId="1548" priority="13" stopIfTrue="1" operator="notEqual">
      <formula>$P$27</formula>
    </cfRule>
  </conditionalFormatting>
  <conditionalFormatting sqref="O28">
    <cfRule type="cellIs" dxfId="1547" priority="12" stopIfTrue="1" operator="notEqual">
      <formula>$P$28</formula>
    </cfRule>
  </conditionalFormatting>
  <conditionalFormatting sqref="O29">
    <cfRule type="cellIs" dxfId="1546" priority="11" stopIfTrue="1" operator="notEqual">
      <formula>$P$29</formula>
    </cfRule>
  </conditionalFormatting>
  <conditionalFormatting sqref="O30">
    <cfRule type="cellIs" dxfId="1545" priority="10" stopIfTrue="1" operator="notEqual">
      <formula>$P$30</formula>
    </cfRule>
  </conditionalFormatting>
  <conditionalFormatting sqref="O31">
    <cfRule type="cellIs" dxfId="1544" priority="8" stopIfTrue="1" operator="notEqual">
      <formula>$P$31</formula>
    </cfRule>
    <cfRule type="cellIs" dxfId="1543" priority="9" stopIfTrue="1" operator="greaterThan">
      <formula>$P$31</formula>
    </cfRule>
  </conditionalFormatting>
  <conditionalFormatting sqref="O32">
    <cfRule type="cellIs" dxfId="1542" priority="6" stopIfTrue="1" operator="notEqual">
      <formula>$P$32</formula>
    </cfRule>
    <cfRule type="cellIs" dxfId="1541" priority="7" stopIfTrue="1" operator="greaterThan">
      <formula>$P$32</formula>
    </cfRule>
  </conditionalFormatting>
  <conditionalFormatting sqref="O33">
    <cfRule type="cellIs" dxfId="1540" priority="5" stopIfTrue="1" operator="notEqual">
      <formula>$P$33</formula>
    </cfRule>
  </conditionalFormatting>
  <conditionalFormatting sqref="O13">
    <cfRule type="cellIs" dxfId="1539" priority="4" stopIfTrue="1" operator="notEqual">
      <formula>$P$13</formula>
    </cfRule>
  </conditionalFormatting>
  <conditionalFormatting sqref="AG3:AG34">
    <cfRule type="cellIs" dxfId="1538" priority="3" stopIfTrue="1" operator="notEqual">
      <formula>E3</formula>
    </cfRule>
  </conditionalFormatting>
  <conditionalFormatting sqref="AH3:AH34">
    <cfRule type="cellIs" dxfId="1537" priority="2" stopIfTrue="1" operator="notBetween">
      <formula>AI3+$AG$40</formula>
      <formula>AI3-$AG$40</formula>
    </cfRule>
  </conditionalFormatting>
  <conditionalFormatting sqref="AL3:AL33">
    <cfRule type="cellIs" dxfId="15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M2" zoomScale="85" zoomScaleNormal="85" workbookViewId="0">
      <selection activeCell="S14" sqref="S14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L33" sqref="L33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L33" sqref="L33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/>
      <c r="B3" s="487"/>
      <c r="C3" s="488"/>
      <c r="D3" s="488"/>
      <c r="E3" s="488"/>
      <c r="F3" s="489"/>
      <c r="G3" s="488"/>
      <c r="H3" s="489"/>
      <c r="I3" s="488"/>
      <c r="J3" s="488"/>
      <c r="K3" s="488"/>
      <c r="L3" s="490"/>
      <c r="M3" s="489"/>
      <c r="N3" s="491"/>
      <c r="O3" s="492"/>
      <c r="P3" s="493">
        <f>F4-F3</f>
        <v>0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0</v>
      </c>
      <c r="W3" s="498">
        <f>V3*35.31467</f>
        <v>0</v>
      </c>
      <c r="X3" s="497"/>
      <c r="Y3" s="499">
        <f>V3*R3/1000000</f>
        <v>0</v>
      </c>
      <c r="Z3" s="500">
        <f>S3*V3/1000000</f>
        <v>0</v>
      </c>
      <c r="AA3" s="501">
        <f>W3*T3/1000000</f>
        <v>0</v>
      </c>
      <c r="AE3" s="598" t="str">
        <f>RIGHT(F3,6)</f>
        <v/>
      </c>
      <c r="AF3" s="486"/>
      <c r="AG3" s="491"/>
      <c r="AH3" s="599"/>
      <c r="AI3" s="600">
        <f>IFERROR(AE3*1,0)</f>
        <v>0</v>
      </c>
      <c r="AJ3" s="601">
        <f>(AI3-AH3)</f>
        <v>0</v>
      </c>
      <c r="AL3" s="602">
        <f>AH4-AH3</f>
        <v>0</v>
      </c>
      <c r="AM3" s="603">
        <f>AI4-AI3</f>
        <v>0</v>
      </c>
      <c r="AN3" s="604">
        <f>(AM3-AL3)</f>
        <v>0</v>
      </c>
      <c r="AO3" s="605" t="str">
        <f>IFERROR(AN3/AM3,"")</f>
        <v/>
      </c>
    </row>
    <row r="4" spans="1:41" x14ac:dyDescent="0.2">
      <c r="A4" s="502"/>
      <c r="B4" s="503"/>
      <c r="C4" s="504"/>
      <c r="D4" s="504"/>
      <c r="E4" s="504"/>
      <c r="F4" s="505"/>
      <c r="G4" s="504"/>
      <c r="H4" s="505"/>
      <c r="I4" s="504"/>
      <c r="J4" s="504"/>
      <c r="K4" s="504"/>
      <c r="L4" s="506"/>
      <c r="M4" s="505"/>
      <c r="N4" s="507"/>
      <c r="O4" s="508"/>
      <c r="P4" s="493">
        <f t="shared" ref="P4:P33" si="0">F5-F4</f>
        <v>0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0</v>
      </c>
      <c r="W4" s="512">
        <f>V4*35.31467</f>
        <v>0</v>
      </c>
      <c r="X4" s="497"/>
      <c r="Y4" s="513">
        <f>V4*R4/1000000</f>
        <v>0</v>
      </c>
      <c r="Z4" s="510">
        <f>S4*V4/1000000</f>
        <v>0</v>
      </c>
      <c r="AA4" s="511">
        <f>W4*T4/1000000</f>
        <v>0</v>
      </c>
      <c r="AE4" s="598" t="str">
        <f t="shared" ref="AE4:AE34" si="3">RIGHT(F4,6)</f>
        <v/>
      </c>
      <c r="AF4" s="502"/>
      <c r="AG4" s="606"/>
      <c r="AH4" s="607"/>
      <c r="AI4" s="608">
        <f t="shared" ref="AI4:AI34" si="4">IFERROR(AE4*1,0)</f>
        <v>0</v>
      </c>
      <c r="AJ4" s="609">
        <f t="shared" ref="AJ4:AJ34" si="5">(AI4-AH4)</f>
        <v>0</v>
      </c>
      <c r="AL4" s="602">
        <f t="shared" ref="AL4:AM33" si="6">AH5-AH4</f>
        <v>0</v>
      </c>
      <c r="AM4" s="610">
        <f t="shared" si="6"/>
        <v>0</v>
      </c>
      <c r="AN4" s="611">
        <f t="shared" ref="AN4:AN33" si="7">(AM4-AL4)</f>
        <v>0</v>
      </c>
      <c r="AO4" s="612" t="str">
        <f t="shared" ref="AO4:AO33" si="8">IFERROR(AN4/AM4,"")</f>
        <v/>
      </c>
    </row>
    <row r="5" spans="1:41" x14ac:dyDescent="0.2">
      <c r="A5" s="502"/>
      <c r="B5" s="503"/>
      <c r="C5" s="504"/>
      <c r="D5" s="504"/>
      <c r="E5" s="504"/>
      <c r="F5" s="505"/>
      <c r="G5" s="504"/>
      <c r="H5" s="505"/>
      <c r="I5" s="504"/>
      <c r="J5" s="504"/>
      <c r="K5" s="504"/>
      <c r="L5" s="506"/>
      <c r="M5" s="505"/>
      <c r="N5" s="507"/>
      <c r="O5" s="508"/>
      <c r="P5" s="493">
        <f t="shared" si="0"/>
        <v>0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0</v>
      </c>
      <c r="W5" s="512">
        <f t="shared" ref="W5:W33" si="10">V5*35.31467</f>
        <v>0</v>
      </c>
      <c r="X5" s="497"/>
      <c r="Y5" s="513">
        <f t="shared" ref="Y5:Y33" si="11">V5*R5/1000000</f>
        <v>0</v>
      </c>
      <c r="Z5" s="510">
        <f t="shared" ref="Z5:Z33" si="12">S5*V5/1000000</f>
        <v>0</v>
      </c>
      <c r="AA5" s="511">
        <f t="shared" ref="AA5:AA33" si="13">W5*T5/1000000</f>
        <v>0</v>
      </c>
      <c r="AE5" s="598" t="str">
        <f t="shared" si="3"/>
        <v/>
      </c>
      <c r="AF5" s="502"/>
      <c r="AG5" s="606"/>
      <c r="AH5" s="607"/>
      <c r="AI5" s="608">
        <f t="shared" si="4"/>
        <v>0</v>
      </c>
      <c r="AJ5" s="609">
        <f t="shared" si="5"/>
        <v>0</v>
      </c>
      <c r="AL5" s="602">
        <f t="shared" si="6"/>
        <v>0</v>
      </c>
      <c r="AM5" s="610">
        <f t="shared" si="6"/>
        <v>0</v>
      </c>
      <c r="AN5" s="611">
        <f t="shared" si="7"/>
        <v>0</v>
      </c>
      <c r="AO5" s="612" t="str">
        <f t="shared" si="8"/>
        <v/>
      </c>
    </row>
    <row r="6" spans="1:41" x14ac:dyDescent="0.2">
      <c r="A6" s="502"/>
      <c r="B6" s="503"/>
      <c r="C6" s="504"/>
      <c r="D6" s="504"/>
      <c r="E6" s="504"/>
      <c r="F6" s="505"/>
      <c r="G6" s="504"/>
      <c r="H6" s="505"/>
      <c r="I6" s="504"/>
      <c r="J6" s="504"/>
      <c r="K6" s="504"/>
      <c r="L6" s="506"/>
      <c r="M6" s="505"/>
      <c r="N6" s="507"/>
      <c r="O6" s="508"/>
      <c r="P6" s="493">
        <f t="shared" si="0"/>
        <v>0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0</v>
      </c>
      <c r="W6" s="512">
        <f t="shared" si="10"/>
        <v>0</v>
      </c>
      <c r="X6" s="497"/>
      <c r="Y6" s="513">
        <f t="shared" si="11"/>
        <v>0</v>
      </c>
      <c r="Z6" s="510">
        <f t="shared" si="12"/>
        <v>0</v>
      </c>
      <c r="AA6" s="511">
        <f t="shared" si="13"/>
        <v>0</v>
      </c>
      <c r="AE6" s="598" t="str">
        <f t="shared" si="3"/>
        <v/>
      </c>
      <c r="AF6" s="502"/>
      <c r="AG6" s="606"/>
      <c r="AH6" s="607"/>
      <c r="AI6" s="608">
        <f t="shared" si="4"/>
        <v>0</v>
      </c>
      <c r="AJ6" s="609">
        <f t="shared" si="5"/>
        <v>0</v>
      </c>
      <c r="AL6" s="602">
        <f t="shared" si="6"/>
        <v>0</v>
      </c>
      <c r="AM6" s="610">
        <f t="shared" si="6"/>
        <v>0</v>
      </c>
      <c r="AN6" s="611">
        <f t="shared" si="7"/>
        <v>0</v>
      </c>
      <c r="AO6" s="612" t="str">
        <f t="shared" si="8"/>
        <v/>
      </c>
    </row>
    <row r="7" spans="1:41" x14ac:dyDescent="0.2">
      <c r="A7" s="502"/>
      <c r="B7" s="503"/>
      <c r="C7" s="504"/>
      <c r="D7" s="504"/>
      <c r="E7" s="504"/>
      <c r="F7" s="505"/>
      <c r="G7" s="504"/>
      <c r="H7" s="505"/>
      <c r="I7" s="504"/>
      <c r="J7" s="504"/>
      <c r="K7" s="504"/>
      <c r="L7" s="506"/>
      <c r="M7" s="505"/>
      <c r="N7" s="507"/>
      <c r="O7" s="508"/>
      <c r="P7" s="493">
        <f t="shared" si="0"/>
        <v>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0</v>
      </c>
      <c r="W7" s="512">
        <f t="shared" si="10"/>
        <v>0</v>
      </c>
      <c r="X7" s="497"/>
      <c r="Y7" s="513">
        <f t="shared" si="11"/>
        <v>0</v>
      </c>
      <c r="Z7" s="510">
        <f t="shared" si="12"/>
        <v>0</v>
      </c>
      <c r="AA7" s="511">
        <f t="shared" si="13"/>
        <v>0</v>
      </c>
      <c r="AE7" s="598" t="str">
        <f t="shared" si="3"/>
        <v/>
      </c>
      <c r="AF7" s="502"/>
      <c r="AG7" s="606"/>
      <c r="AH7" s="607"/>
      <c r="AI7" s="608">
        <f t="shared" si="4"/>
        <v>0</v>
      </c>
      <c r="AJ7" s="609">
        <f t="shared" si="5"/>
        <v>0</v>
      </c>
      <c r="AL7" s="602">
        <f t="shared" si="6"/>
        <v>0</v>
      </c>
      <c r="AM7" s="610">
        <f t="shared" si="6"/>
        <v>0</v>
      </c>
      <c r="AN7" s="611">
        <f t="shared" si="7"/>
        <v>0</v>
      </c>
      <c r="AO7" s="612" t="str">
        <f t="shared" si="8"/>
        <v/>
      </c>
    </row>
    <row r="8" spans="1:41" x14ac:dyDescent="0.2">
      <c r="A8" s="502"/>
      <c r="B8" s="503"/>
      <c r="C8" s="504"/>
      <c r="D8" s="504"/>
      <c r="E8" s="504"/>
      <c r="F8" s="505"/>
      <c r="G8" s="504"/>
      <c r="H8" s="505"/>
      <c r="I8" s="504"/>
      <c r="J8" s="504"/>
      <c r="K8" s="504"/>
      <c r="L8" s="506"/>
      <c r="M8" s="505"/>
      <c r="N8" s="507"/>
      <c r="O8" s="508"/>
      <c r="P8" s="493">
        <f t="shared" si="0"/>
        <v>0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0</v>
      </c>
      <c r="W8" s="512">
        <f t="shared" si="10"/>
        <v>0</v>
      </c>
      <c r="X8" s="497"/>
      <c r="Y8" s="513">
        <f t="shared" si="11"/>
        <v>0</v>
      </c>
      <c r="Z8" s="510">
        <f t="shared" si="12"/>
        <v>0</v>
      </c>
      <c r="AA8" s="511">
        <f t="shared" si="13"/>
        <v>0</v>
      </c>
      <c r="AE8" s="598" t="str">
        <f t="shared" si="3"/>
        <v/>
      </c>
      <c r="AF8" s="502"/>
      <c r="AG8" s="606"/>
      <c r="AH8" s="607"/>
      <c r="AI8" s="608">
        <f t="shared" si="4"/>
        <v>0</v>
      </c>
      <c r="AJ8" s="609">
        <f t="shared" si="5"/>
        <v>0</v>
      </c>
      <c r="AL8" s="602">
        <f t="shared" si="6"/>
        <v>0</v>
      </c>
      <c r="AM8" s="610">
        <f t="shared" si="6"/>
        <v>0</v>
      </c>
      <c r="AN8" s="611">
        <f t="shared" si="7"/>
        <v>0</v>
      </c>
      <c r="AO8" s="612" t="str">
        <f t="shared" si="8"/>
        <v/>
      </c>
    </row>
    <row r="9" spans="1:41" x14ac:dyDescent="0.2">
      <c r="A9" s="502"/>
      <c r="B9" s="503"/>
      <c r="C9" s="504"/>
      <c r="D9" s="504"/>
      <c r="E9" s="504"/>
      <c r="F9" s="505"/>
      <c r="G9" s="504"/>
      <c r="H9" s="505"/>
      <c r="I9" s="504"/>
      <c r="J9" s="504"/>
      <c r="K9" s="504"/>
      <c r="L9" s="506"/>
      <c r="M9" s="505"/>
      <c r="N9" s="507"/>
      <c r="O9" s="508"/>
      <c r="P9" s="493">
        <f t="shared" si="0"/>
        <v>0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0</v>
      </c>
      <c r="W9" s="512">
        <f t="shared" si="10"/>
        <v>0</v>
      </c>
      <c r="X9" s="497"/>
      <c r="Y9" s="513">
        <f t="shared" si="11"/>
        <v>0</v>
      </c>
      <c r="Z9" s="510">
        <f t="shared" si="12"/>
        <v>0</v>
      </c>
      <c r="AA9" s="511">
        <f t="shared" si="13"/>
        <v>0</v>
      </c>
      <c r="AE9" s="598" t="str">
        <f t="shared" si="3"/>
        <v/>
      </c>
      <c r="AF9" s="502"/>
      <c r="AG9" s="606"/>
      <c r="AH9" s="607"/>
      <c r="AI9" s="608">
        <f t="shared" si="4"/>
        <v>0</v>
      </c>
      <c r="AJ9" s="609">
        <f t="shared" si="5"/>
        <v>0</v>
      </c>
      <c r="AL9" s="602">
        <f t="shared" si="6"/>
        <v>0</v>
      </c>
      <c r="AM9" s="610">
        <f t="shared" si="6"/>
        <v>0</v>
      </c>
      <c r="AN9" s="611">
        <f t="shared" si="7"/>
        <v>0</v>
      </c>
      <c r="AO9" s="612" t="str">
        <f t="shared" si="8"/>
        <v/>
      </c>
    </row>
    <row r="10" spans="1:41" x14ac:dyDescent="0.2">
      <c r="A10" s="502"/>
      <c r="B10" s="503"/>
      <c r="C10" s="504"/>
      <c r="D10" s="504"/>
      <c r="E10" s="504"/>
      <c r="F10" s="505"/>
      <c r="G10" s="504"/>
      <c r="H10" s="505"/>
      <c r="I10" s="504"/>
      <c r="J10" s="504"/>
      <c r="K10" s="504"/>
      <c r="L10" s="506"/>
      <c r="M10" s="505"/>
      <c r="N10" s="507"/>
      <c r="O10" s="508"/>
      <c r="P10" s="493">
        <f t="shared" si="0"/>
        <v>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0</v>
      </c>
      <c r="W10" s="512">
        <f t="shared" si="10"/>
        <v>0</v>
      </c>
      <c r="X10" s="497"/>
      <c r="Y10" s="513">
        <f t="shared" si="11"/>
        <v>0</v>
      </c>
      <c r="Z10" s="510">
        <f t="shared" si="12"/>
        <v>0</v>
      </c>
      <c r="AA10" s="511">
        <f t="shared" si="13"/>
        <v>0</v>
      </c>
      <c r="AE10" s="598" t="str">
        <f t="shared" si="3"/>
        <v/>
      </c>
      <c r="AF10" s="502"/>
      <c r="AG10" s="606"/>
      <c r="AH10" s="607"/>
      <c r="AI10" s="608">
        <f t="shared" si="4"/>
        <v>0</v>
      </c>
      <c r="AJ10" s="609">
        <f t="shared" si="5"/>
        <v>0</v>
      </c>
      <c r="AL10" s="602">
        <f t="shared" si="6"/>
        <v>0</v>
      </c>
      <c r="AM10" s="610">
        <f t="shared" si="6"/>
        <v>0</v>
      </c>
      <c r="AN10" s="611">
        <f t="shared" si="7"/>
        <v>0</v>
      </c>
      <c r="AO10" s="612" t="str">
        <f t="shared" si="8"/>
        <v/>
      </c>
    </row>
    <row r="11" spans="1:41" x14ac:dyDescent="0.2">
      <c r="A11" s="502"/>
      <c r="B11" s="503"/>
      <c r="C11" s="504"/>
      <c r="D11" s="504"/>
      <c r="E11" s="504"/>
      <c r="F11" s="505"/>
      <c r="G11" s="504"/>
      <c r="H11" s="505"/>
      <c r="I11" s="504"/>
      <c r="J11" s="504"/>
      <c r="K11" s="504"/>
      <c r="L11" s="506"/>
      <c r="M11" s="505"/>
      <c r="N11" s="507"/>
      <c r="O11" s="508"/>
      <c r="P11" s="493">
        <f t="shared" si="0"/>
        <v>0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0</v>
      </c>
      <c r="W11" s="515">
        <f t="shared" si="10"/>
        <v>0</v>
      </c>
      <c r="Y11" s="513">
        <f t="shared" si="11"/>
        <v>0</v>
      </c>
      <c r="Z11" s="510">
        <f t="shared" si="12"/>
        <v>0</v>
      </c>
      <c r="AA11" s="511">
        <f t="shared" si="13"/>
        <v>0</v>
      </c>
      <c r="AE11" s="598" t="str">
        <f t="shared" si="3"/>
        <v/>
      </c>
      <c r="AF11" s="502"/>
      <c r="AG11" s="606"/>
      <c r="AH11" s="607"/>
      <c r="AI11" s="608">
        <f t="shared" si="4"/>
        <v>0</v>
      </c>
      <c r="AJ11" s="609">
        <f t="shared" si="5"/>
        <v>0</v>
      </c>
      <c r="AL11" s="602">
        <f t="shared" si="6"/>
        <v>0</v>
      </c>
      <c r="AM11" s="610">
        <f t="shared" si="6"/>
        <v>0</v>
      </c>
      <c r="AN11" s="611">
        <f t="shared" si="7"/>
        <v>0</v>
      </c>
      <c r="AO11" s="612" t="str">
        <f t="shared" si="8"/>
        <v/>
      </c>
    </row>
    <row r="12" spans="1:41" x14ac:dyDescent="0.2">
      <c r="A12" s="502"/>
      <c r="B12" s="503"/>
      <c r="C12" s="504"/>
      <c r="D12" s="504"/>
      <c r="E12" s="504"/>
      <c r="F12" s="505"/>
      <c r="G12" s="504"/>
      <c r="H12" s="505"/>
      <c r="I12" s="504"/>
      <c r="J12" s="504"/>
      <c r="K12" s="504"/>
      <c r="L12" s="506"/>
      <c r="M12" s="505"/>
      <c r="N12" s="507"/>
      <c r="O12" s="508"/>
      <c r="P12" s="493">
        <f t="shared" si="0"/>
        <v>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0</v>
      </c>
      <c r="W12" s="515">
        <f t="shared" si="10"/>
        <v>0</v>
      </c>
      <c r="Y12" s="513">
        <f t="shared" si="11"/>
        <v>0</v>
      </c>
      <c r="Z12" s="510">
        <f t="shared" si="12"/>
        <v>0</v>
      </c>
      <c r="AA12" s="511">
        <f t="shared" si="13"/>
        <v>0</v>
      </c>
      <c r="AE12" s="598" t="str">
        <f t="shared" si="3"/>
        <v/>
      </c>
      <c r="AF12" s="502"/>
      <c r="AG12" s="606"/>
      <c r="AH12" s="607"/>
      <c r="AI12" s="608">
        <f t="shared" si="4"/>
        <v>0</v>
      </c>
      <c r="AJ12" s="609">
        <f t="shared" si="5"/>
        <v>0</v>
      </c>
      <c r="AL12" s="602">
        <f t="shared" si="6"/>
        <v>0</v>
      </c>
      <c r="AM12" s="610">
        <f t="shared" si="6"/>
        <v>0</v>
      </c>
      <c r="AN12" s="611">
        <f t="shared" si="7"/>
        <v>0</v>
      </c>
      <c r="AO12" s="612" t="str">
        <f t="shared" si="8"/>
        <v/>
      </c>
    </row>
    <row r="13" spans="1:41" x14ac:dyDescent="0.2">
      <c r="A13" s="502"/>
      <c r="B13" s="503"/>
      <c r="C13" s="504"/>
      <c r="D13" s="504"/>
      <c r="E13" s="504"/>
      <c r="F13" s="505"/>
      <c r="G13" s="504"/>
      <c r="H13" s="505"/>
      <c r="I13" s="504"/>
      <c r="J13" s="504"/>
      <c r="K13" s="504"/>
      <c r="L13" s="506"/>
      <c r="M13" s="505"/>
      <c r="N13" s="507"/>
      <c r="O13" s="508"/>
      <c r="P13" s="493">
        <f t="shared" si="0"/>
        <v>0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0</v>
      </c>
      <c r="W13" s="515">
        <f t="shared" si="10"/>
        <v>0</v>
      </c>
      <c r="Y13" s="513">
        <f t="shared" si="11"/>
        <v>0</v>
      </c>
      <c r="Z13" s="510">
        <f t="shared" si="12"/>
        <v>0</v>
      </c>
      <c r="AA13" s="511">
        <f t="shared" si="13"/>
        <v>0</v>
      </c>
      <c r="AE13" s="598" t="str">
        <f t="shared" si="3"/>
        <v/>
      </c>
      <c r="AF13" s="502"/>
      <c r="AG13" s="606"/>
      <c r="AH13" s="607"/>
      <c r="AI13" s="608">
        <f t="shared" si="4"/>
        <v>0</v>
      </c>
      <c r="AJ13" s="609">
        <f t="shared" si="5"/>
        <v>0</v>
      </c>
      <c r="AL13" s="602">
        <f t="shared" si="6"/>
        <v>0</v>
      </c>
      <c r="AM13" s="610">
        <f t="shared" si="6"/>
        <v>0</v>
      </c>
      <c r="AN13" s="611">
        <f t="shared" si="7"/>
        <v>0</v>
      </c>
      <c r="AO13" s="612" t="str">
        <f t="shared" si="8"/>
        <v/>
      </c>
    </row>
    <row r="14" spans="1:41" x14ac:dyDescent="0.2">
      <c r="A14" s="502"/>
      <c r="B14" s="503"/>
      <c r="C14" s="504"/>
      <c r="D14" s="504"/>
      <c r="E14" s="504"/>
      <c r="F14" s="505"/>
      <c r="G14" s="504"/>
      <c r="H14" s="505"/>
      <c r="I14" s="504"/>
      <c r="J14" s="504"/>
      <c r="K14" s="504"/>
      <c r="L14" s="506"/>
      <c r="M14" s="505"/>
      <c r="N14" s="507"/>
      <c r="O14" s="508"/>
      <c r="P14" s="493">
        <f t="shared" si="0"/>
        <v>0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0</v>
      </c>
      <c r="W14" s="515">
        <f t="shared" si="10"/>
        <v>0</v>
      </c>
      <c r="Y14" s="513">
        <f t="shared" si="11"/>
        <v>0</v>
      </c>
      <c r="Z14" s="510">
        <f t="shared" si="12"/>
        <v>0</v>
      </c>
      <c r="AA14" s="511">
        <f t="shared" si="13"/>
        <v>0</v>
      </c>
      <c r="AE14" s="598" t="str">
        <f t="shared" si="3"/>
        <v/>
      </c>
      <c r="AF14" s="502"/>
      <c r="AG14" s="606"/>
      <c r="AH14" s="607"/>
      <c r="AI14" s="608">
        <f t="shared" si="4"/>
        <v>0</v>
      </c>
      <c r="AJ14" s="609">
        <f t="shared" si="5"/>
        <v>0</v>
      </c>
      <c r="AL14" s="602">
        <f t="shared" si="6"/>
        <v>0</v>
      </c>
      <c r="AM14" s="610">
        <f t="shared" si="6"/>
        <v>0</v>
      </c>
      <c r="AN14" s="611">
        <f t="shared" si="7"/>
        <v>0</v>
      </c>
      <c r="AO14" s="612" t="str">
        <f t="shared" si="8"/>
        <v/>
      </c>
    </row>
    <row r="15" spans="1:41" x14ac:dyDescent="0.2">
      <c r="A15" s="502"/>
      <c r="B15" s="503"/>
      <c r="C15" s="504"/>
      <c r="D15" s="504"/>
      <c r="E15" s="504"/>
      <c r="F15" s="505"/>
      <c r="G15" s="504"/>
      <c r="H15" s="505"/>
      <c r="I15" s="504"/>
      <c r="J15" s="504"/>
      <c r="K15" s="504"/>
      <c r="L15" s="506"/>
      <c r="M15" s="505"/>
      <c r="N15" s="507"/>
      <c r="O15" s="508"/>
      <c r="P15" s="493">
        <f t="shared" si="0"/>
        <v>0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0</v>
      </c>
      <c r="W15" s="515">
        <f t="shared" si="10"/>
        <v>0</v>
      </c>
      <c r="Y15" s="513">
        <f t="shared" si="11"/>
        <v>0</v>
      </c>
      <c r="Z15" s="510">
        <f t="shared" si="12"/>
        <v>0</v>
      </c>
      <c r="AA15" s="511">
        <f t="shared" si="13"/>
        <v>0</v>
      </c>
      <c r="AE15" s="598" t="str">
        <f t="shared" si="3"/>
        <v/>
      </c>
      <c r="AF15" s="502"/>
      <c r="AG15" s="606"/>
      <c r="AH15" s="607"/>
      <c r="AI15" s="608">
        <f t="shared" si="4"/>
        <v>0</v>
      </c>
      <c r="AJ15" s="609">
        <f t="shared" si="5"/>
        <v>0</v>
      </c>
      <c r="AL15" s="602">
        <f t="shared" si="6"/>
        <v>0</v>
      </c>
      <c r="AM15" s="610">
        <f t="shared" si="6"/>
        <v>0</v>
      </c>
      <c r="AN15" s="611">
        <f t="shared" si="7"/>
        <v>0</v>
      </c>
      <c r="AO15" s="612" t="str">
        <f t="shared" si="8"/>
        <v/>
      </c>
    </row>
    <row r="16" spans="1:41" x14ac:dyDescent="0.2">
      <c r="A16" s="502"/>
      <c r="B16" s="503"/>
      <c r="C16" s="504"/>
      <c r="D16" s="504"/>
      <c r="E16" s="504"/>
      <c r="F16" s="505"/>
      <c r="G16" s="504"/>
      <c r="H16" s="505"/>
      <c r="I16" s="504"/>
      <c r="J16" s="504"/>
      <c r="K16" s="504"/>
      <c r="L16" s="506"/>
      <c r="M16" s="505"/>
      <c r="N16" s="507"/>
      <c r="O16" s="508"/>
      <c r="P16" s="493">
        <f t="shared" si="0"/>
        <v>0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0</v>
      </c>
      <c r="W16" s="515">
        <f t="shared" si="10"/>
        <v>0</v>
      </c>
      <c r="Y16" s="513">
        <f t="shared" si="11"/>
        <v>0</v>
      </c>
      <c r="Z16" s="510">
        <f t="shared" si="12"/>
        <v>0</v>
      </c>
      <c r="AA16" s="511">
        <f t="shared" si="13"/>
        <v>0</v>
      </c>
      <c r="AE16" s="598" t="str">
        <f t="shared" si="3"/>
        <v/>
      </c>
      <c r="AF16" s="502"/>
      <c r="AG16" s="606"/>
      <c r="AH16" s="607"/>
      <c r="AI16" s="608">
        <f t="shared" si="4"/>
        <v>0</v>
      </c>
      <c r="AJ16" s="609">
        <f t="shared" si="5"/>
        <v>0</v>
      </c>
      <c r="AL16" s="602">
        <f t="shared" si="6"/>
        <v>0</v>
      </c>
      <c r="AM16" s="610">
        <f t="shared" si="6"/>
        <v>0</v>
      </c>
      <c r="AN16" s="611">
        <f t="shared" si="7"/>
        <v>0</v>
      </c>
      <c r="AO16" s="612" t="str">
        <f t="shared" si="8"/>
        <v/>
      </c>
    </row>
    <row r="17" spans="1:41" x14ac:dyDescent="0.2">
      <c r="A17" s="502"/>
      <c r="B17" s="503"/>
      <c r="C17" s="504"/>
      <c r="D17" s="504"/>
      <c r="E17" s="504"/>
      <c r="F17" s="505"/>
      <c r="G17" s="504"/>
      <c r="H17" s="505"/>
      <c r="I17" s="504"/>
      <c r="J17" s="504"/>
      <c r="K17" s="504"/>
      <c r="L17" s="506"/>
      <c r="M17" s="505"/>
      <c r="N17" s="507"/>
      <c r="O17" s="508"/>
      <c r="P17" s="493">
        <f t="shared" si="0"/>
        <v>0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0</v>
      </c>
      <c r="W17" s="515">
        <f t="shared" si="10"/>
        <v>0</v>
      </c>
      <c r="Y17" s="513">
        <f t="shared" si="11"/>
        <v>0</v>
      </c>
      <c r="Z17" s="510">
        <f t="shared" si="12"/>
        <v>0</v>
      </c>
      <c r="AA17" s="511">
        <f t="shared" si="13"/>
        <v>0</v>
      </c>
      <c r="AE17" s="598" t="str">
        <f t="shared" si="3"/>
        <v/>
      </c>
      <c r="AF17" s="502"/>
      <c r="AG17" s="606"/>
      <c r="AH17" s="607"/>
      <c r="AI17" s="608">
        <f t="shared" si="4"/>
        <v>0</v>
      </c>
      <c r="AJ17" s="609">
        <f t="shared" si="5"/>
        <v>0</v>
      </c>
      <c r="AL17" s="602">
        <f t="shared" si="6"/>
        <v>0</v>
      </c>
      <c r="AM17" s="610">
        <f t="shared" si="6"/>
        <v>0</v>
      </c>
      <c r="AN17" s="611">
        <f t="shared" si="7"/>
        <v>0</v>
      </c>
      <c r="AO17" s="612" t="str">
        <f t="shared" si="8"/>
        <v/>
      </c>
    </row>
    <row r="18" spans="1:41" x14ac:dyDescent="0.2">
      <c r="A18" s="502"/>
      <c r="B18" s="503"/>
      <c r="C18" s="504"/>
      <c r="D18" s="504"/>
      <c r="E18" s="504"/>
      <c r="F18" s="505"/>
      <c r="G18" s="504"/>
      <c r="H18" s="505"/>
      <c r="I18" s="504"/>
      <c r="J18" s="504"/>
      <c r="K18" s="504"/>
      <c r="L18" s="506"/>
      <c r="M18" s="505"/>
      <c r="N18" s="507"/>
      <c r="O18" s="508"/>
      <c r="P18" s="493">
        <f t="shared" si="0"/>
        <v>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0</v>
      </c>
      <c r="W18" s="515">
        <f t="shared" si="10"/>
        <v>0</v>
      </c>
      <c r="Y18" s="513">
        <f t="shared" si="11"/>
        <v>0</v>
      </c>
      <c r="Z18" s="510">
        <f t="shared" si="12"/>
        <v>0</v>
      </c>
      <c r="AA18" s="511">
        <f t="shared" si="13"/>
        <v>0</v>
      </c>
      <c r="AE18" s="598" t="str">
        <f t="shared" si="3"/>
        <v/>
      </c>
      <c r="AF18" s="502"/>
      <c r="AG18" s="606"/>
      <c r="AH18" s="607"/>
      <c r="AI18" s="608">
        <f t="shared" si="4"/>
        <v>0</v>
      </c>
      <c r="AJ18" s="609">
        <f t="shared" si="5"/>
        <v>0</v>
      </c>
      <c r="AL18" s="602">
        <f t="shared" si="6"/>
        <v>0</v>
      </c>
      <c r="AM18" s="610">
        <f t="shared" si="6"/>
        <v>0</v>
      </c>
      <c r="AN18" s="611">
        <f t="shared" si="7"/>
        <v>0</v>
      </c>
      <c r="AO18" s="612" t="str">
        <f t="shared" si="8"/>
        <v/>
      </c>
    </row>
    <row r="19" spans="1:41" x14ac:dyDescent="0.2">
      <c r="A19" s="502"/>
      <c r="B19" s="503"/>
      <c r="C19" s="504"/>
      <c r="D19" s="504"/>
      <c r="E19" s="504"/>
      <c r="F19" s="505"/>
      <c r="G19" s="504"/>
      <c r="H19" s="505"/>
      <c r="I19" s="504"/>
      <c r="J19" s="504"/>
      <c r="K19" s="504"/>
      <c r="L19" s="506"/>
      <c r="M19" s="505"/>
      <c r="N19" s="507"/>
      <c r="O19" s="508"/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/>
      </c>
      <c r="AF19" s="502"/>
      <c r="AG19" s="606"/>
      <c r="AH19" s="607"/>
      <c r="AI19" s="608">
        <f t="shared" si="4"/>
        <v>0</v>
      </c>
      <c r="AJ19" s="609">
        <f t="shared" si="5"/>
        <v>0</v>
      </c>
      <c r="AL19" s="602">
        <f t="shared" si="6"/>
        <v>0</v>
      </c>
      <c r="AM19" s="610">
        <f t="shared" si="6"/>
        <v>0</v>
      </c>
      <c r="AN19" s="611">
        <f t="shared" si="7"/>
        <v>0</v>
      </c>
      <c r="AO19" s="612" t="str">
        <f t="shared" si="8"/>
        <v/>
      </c>
    </row>
    <row r="20" spans="1:41" x14ac:dyDescent="0.2">
      <c r="A20" s="502"/>
      <c r="B20" s="503"/>
      <c r="C20" s="504"/>
      <c r="D20" s="504"/>
      <c r="E20" s="504"/>
      <c r="F20" s="505"/>
      <c r="G20" s="504"/>
      <c r="H20" s="505"/>
      <c r="I20" s="504"/>
      <c r="J20" s="504"/>
      <c r="K20" s="504"/>
      <c r="L20" s="506"/>
      <c r="M20" s="505"/>
      <c r="N20" s="507"/>
      <c r="O20" s="508"/>
      <c r="P20" s="493">
        <f t="shared" si="0"/>
        <v>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0</v>
      </c>
      <c r="W20" s="515">
        <f t="shared" si="10"/>
        <v>0</v>
      </c>
      <c r="Y20" s="513">
        <f t="shared" si="11"/>
        <v>0</v>
      </c>
      <c r="Z20" s="510">
        <f t="shared" si="12"/>
        <v>0</v>
      </c>
      <c r="AA20" s="511">
        <f t="shared" si="13"/>
        <v>0</v>
      </c>
      <c r="AE20" s="598" t="str">
        <f t="shared" si="3"/>
        <v/>
      </c>
      <c r="AF20" s="502"/>
      <c r="AG20" s="606"/>
      <c r="AH20" s="607"/>
      <c r="AI20" s="608">
        <f t="shared" si="4"/>
        <v>0</v>
      </c>
      <c r="AJ20" s="609">
        <f t="shared" si="5"/>
        <v>0</v>
      </c>
      <c r="AL20" s="602">
        <f t="shared" si="6"/>
        <v>0</v>
      </c>
      <c r="AM20" s="610">
        <f t="shared" si="6"/>
        <v>0</v>
      </c>
      <c r="AN20" s="611">
        <f t="shared" si="7"/>
        <v>0</v>
      </c>
      <c r="AO20" s="612" t="str">
        <f t="shared" si="8"/>
        <v/>
      </c>
    </row>
    <row r="21" spans="1:41" x14ac:dyDescent="0.2">
      <c r="A21" s="502"/>
      <c r="B21" s="503"/>
      <c r="C21" s="504"/>
      <c r="D21" s="504"/>
      <c r="E21" s="504"/>
      <c r="F21" s="505"/>
      <c r="G21" s="504"/>
      <c r="H21" s="505"/>
      <c r="I21" s="504"/>
      <c r="J21" s="504"/>
      <c r="K21" s="504"/>
      <c r="L21" s="506"/>
      <c r="M21" s="505"/>
      <c r="N21" s="507"/>
      <c r="O21" s="508"/>
      <c r="P21" s="493">
        <f t="shared" si="0"/>
        <v>0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0</v>
      </c>
      <c r="W21" s="515">
        <f t="shared" si="10"/>
        <v>0</v>
      </c>
      <c r="Y21" s="513">
        <f t="shared" si="11"/>
        <v>0</v>
      </c>
      <c r="Z21" s="510">
        <f t="shared" si="12"/>
        <v>0</v>
      </c>
      <c r="AA21" s="511">
        <f t="shared" si="13"/>
        <v>0</v>
      </c>
      <c r="AE21" s="598" t="str">
        <f t="shared" si="3"/>
        <v/>
      </c>
      <c r="AF21" s="502"/>
      <c r="AG21" s="606"/>
      <c r="AH21" s="607"/>
      <c r="AI21" s="608">
        <f t="shared" si="4"/>
        <v>0</v>
      </c>
      <c r="AJ21" s="609">
        <f t="shared" si="5"/>
        <v>0</v>
      </c>
      <c r="AL21" s="602">
        <f t="shared" si="6"/>
        <v>0</v>
      </c>
      <c r="AM21" s="610">
        <f t="shared" si="6"/>
        <v>0</v>
      </c>
      <c r="AN21" s="611">
        <f t="shared" si="7"/>
        <v>0</v>
      </c>
      <c r="AO21" s="612" t="str">
        <f t="shared" si="8"/>
        <v/>
      </c>
    </row>
    <row r="22" spans="1:41" x14ac:dyDescent="0.2">
      <c r="A22" s="502"/>
      <c r="B22" s="503"/>
      <c r="C22" s="504"/>
      <c r="D22" s="504"/>
      <c r="E22" s="504"/>
      <c r="F22" s="505"/>
      <c r="G22" s="504"/>
      <c r="H22" s="505"/>
      <c r="I22" s="504"/>
      <c r="J22" s="504"/>
      <c r="K22" s="504"/>
      <c r="L22" s="506"/>
      <c r="M22" s="505"/>
      <c r="N22" s="507"/>
      <c r="O22" s="508"/>
      <c r="P22" s="493">
        <f t="shared" si="0"/>
        <v>0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0</v>
      </c>
      <c r="W22" s="515">
        <f t="shared" si="10"/>
        <v>0</v>
      </c>
      <c r="Y22" s="513">
        <f t="shared" si="11"/>
        <v>0</v>
      </c>
      <c r="Z22" s="510">
        <f t="shared" si="12"/>
        <v>0</v>
      </c>
      <c r="AA22" s="511">
        <f t="shared" si="13"/>
        <v>0</v>
      </c>
      <c r="AE22" s="598" t="str">
        <f t="shared" si="3"/>
        <v/>
      </c>
      <c r="AF22" s="502"/>
      <c r="AG22" s="606"/>
      <c r="AH22" s="607"/>
      <c r="AI22" s="608">
        <f t="shared" si="4"/>
        <v>0</v>
      </c>
      <c r="AJ22" s="609">
        <f t="shared" si="5"/>
        <v>0</v>
      </c>
      <c r="AL22" s="602">
        <f t="shared" si="6"/>
        <v>0</v>
      </c>
      <c r="AM22" s="610">
        <f t="shared" si="6"/>
        <v>0</v>
      </c>
      <c r="AN22" s="611">
        <f t="shared" si="7"/>
        <v>0</v>
      </c>
      <c r="AO22" s="612" t="str">
        <f t="shared" si="8"/>
        <v/>
      </c>
    </row>
    <row r="23" spans="1:41" x14ac:dyDescent="0.2">
      <c r="A23" s="502"/>
      <c r="B23" s="503"/>
      <c r="C23" s="504"/>
      <c r="D23" s="504"/>
      <c r="E23" s="504"/>
      <c r="F23" s="505"/>
      <c r="G23" s="504"/>
      <c r="H23" s="505"/>
      <c r="I23" s="504"/>
      <c r="J23" s="504"/>
      <c r="K23" s="504"/>
      <c r="L23" s="506"/>
      <c r="M23" s="505"/>
      <c r="N23" s="507"/>
      <c r="O23" s="508"/>
      <c r="P23" s="493">
        <f t="shared" si="0"/>
        <v>0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0</v>
      </c>
      <c r="W23" s="515">
        <f t="shared" si="10"/>
        <v>0</v>
      </c>
      <c r="Y23" s="513">
        <f t="shared" si="11"/>
        <v>0</v>
      </c>
      <c r="Z23" s="510">
        <f t="shared" si="12"/>
        <v>0</v>
      </c>
      <c r="AA23" s="511">
        <f t="shared" si="13"/>
        <v>0</v>
      </c>
      <c r="AE23" s="598" t="str">
        <f t="shared" si="3"/>
        <v/>
      </c>
      <c r="AF23" s="502"/>
      <c r="AG23" s="606"/>
      <c r="AH23" s="607"/>
      <c r="AI23" s="608">
        <f t="shared" si="4"/>
        <v>0</v>
      </c>
      <c r="AJ23" s="609">
        <f t="shared" si="5"/>
        <v>0</v>
      </c>
      <c r="AL23" s="602">
        <f t="shared" si="6"/>
        <v>0</v>
      </c>
      <c r="AM23" s="610">
        <f t="shared" si="6"/>
        <v>0</v>
      </c>
      <c r="AN23" s="611">
        <f t="shared" si="7"/>
        <v>0</v>
      </c>
      <c r="AO23" s="612" t="str">
        <f t="shared" si="8"/>
        <v/>
      </c>
    </row>
    <row r="24" spans="1:41" x14ac:dyDescent="0.2">
      <c r="A24" s="502"/>
      <c r="B24" s="503"/>
      <c r="C24" s="504"/>
      <c r="D24" s="504"/>
      <c r="E24" s="504"/>
      <c r="F24" s="505"/>
      <c r="G24" s="504"/>
      <c r="H24" s="505"/>
      <c r="I24" s="504"/>
      <c r="J24" s="504"/>
      <c r="K24" s="504"/>
      <c r="L24" s="506"/>
      <c r="M24" s="505"/>
      <c r="N24" s="507"/>
      <c r="O24" s="508"/>
      <c r="P24" s="493">
        <f t="shared" si="0"/>
        <v>0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0</v>
      </c>
      <c r="W24" s="515">
        <f t="shared" si="10"/>
        <v>0</v>
      </c>
      <c r="Y24" s="513">
        <f t="shared" si="11"/>
        <v>0</v>
      </c>
      <c r="Z24" s="510">
        <f t="shared" si="12"/>
        <v>0</v>
      </c>
      <c r="AA24" s="511">
        <f t="shared" si="13"/>
        <v>0</v>
      </c>
      <c r="AE24" s="598" t="str">
        <f t="shared" si="3"/>
        <v/>
      </c>
      <c r="AF24" s="502"/>
      <c r="AG24" s="606"/>
      <c r="AH24" s="607"/>
      <c r="AI24" s="608">
        <f t="shared" si="4"/>
        <v>0</v>
      </c>
      <c r="AJ24" s="609">
        <f t="shared" si="5"/>
        <v>0</v>
      </c>
      <c r="AL24" s="602">
        <f t="shared" si="6"/>
        <v>0</v>
      </c>
      <c r="AM24" s="610">
        <f t="shared" si="6"/>
        <v>0</v>
      </c>
      <c r="AN24" s="611">
        <f t="shared" si="7"/>
        <v>0</v>
      </c>
      <c r="AO24" s="612" t="str">
        <f t="shared" si="8"/>
        <v/>
      </c>
    </row>
    <row r="25" spans="1:41" x14ac:dyDescent="0.2">
      <c r="A25" s="502"/>
      <c r="B25" s="503"/>
      <c r="C25" s="504"/>
      <c r="D25" s="504"/>
      <c r="E25" s="504"/>
      <c r="F25" s="505"/>
      <c r="G25" s="504"/>
      <c r="H25" s="505"/>
      <c r="I25" s="504"/>
      <c r="J25" s="504"/>
      <c r="K25" s="504"/>
      <c r="L25" s="506"/>
      <c r="M25" s="505"/>
      <c r="N25" s="507"/>
      <c r="O25" s="508"/>
      <c r="P25" s="493">
        <f t="shared" si="0"/>
        <v>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0</v>
      </c>
      <c r="W25" s="515">
        <f t="shared" si="10"/>
        <v>0</v>
      </c>
      <c r="Y25" s="513">
        <f t="shared" si="11"/>
        <v>0</v>
      </c>
      <c r="Z25" s="510">
        <f t="shared" si="12"/>
        <v>0</v>
      </c>
      <c r="AA25" s="511">
        <f t="shared" si="13"/>
        <v>0</v>
      </c>
      <c r="AE25" s="598" t="str">
        <f t="shared" si="3"/>
        <v/>
      </c>
      <c r="AF25" s="502"/>
      <c r="AG25" s="606"/>
      <c r="AH25" s="607"/>
      <c r="AI25" s="608">
        <f t="shared" si="4"/>
        <v>0</v>
      </c>
      <c r="AJ25" s="609">
        <f t="shared" si="5"/>
        <v>0</v>
      </c>
      <c r="AL25" s="602">
        <f t="shared" si="6"/>
        <v>0</v>
      </c>
      <c r="AM25" s="610">
        <f t="shared" si="6"/>
        <v>0</v>
      </c>
      <c r="AN25" s="611">
        <f t="shared" si="7"/>
        <v>0</v>
      </c>
      <c r="AO25" s="612" t="str">
        <f t="shared" si="8"/>
        <v/>
      </c>
    </row>
    <row r="26" spans="1:41" x14ac:dyDescent="0.2">
      <c r="A26" s="502"/>
      <c r="B26" s="503"/>
      <c r="C26" s="504"/>
      <c r="D26" s="504"/>
      <c r="E26" s="504"/>
      <c r="F26" s="505"/>
      <c r="G26" s="504"/>
      <c r="H26" s="505"/>
      <c r="I26" s="504"/>
      <c r="J26" s="504"/>
      <c r="K26" s="504"/>
      <c r="L26" s="506"/>
      <c r="M26" s="505"/>
      <c r="N26" s="507"/>
      <c r="O26" s="508"/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/>
      </c>
      <c r="AF26" s="502"/>
      <c r="AG26" s="606"/>
      <c r="AH26" s="607"/>
      <c r="AI26" s="608">
        <f t="shared" si="4"/>
        <v>0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/>
      <c r="B27" s="503"/>
      <c r="C27" s="504"/>
      <c r="D27" s="504"/>
      <c r="E27" s="504"/>
      <c r="F27" s="505"/>
      <c r="G27" s="504"/>
      <c r="H27" s="505"/>
      <c r="I27" s="504"/>
      <c r="J27" s="504"/>
      <c r="K27" s="504"/>
      <c r="L27" s="506"/>
      <c r="M27" s="505"/>
      <c r="N27" s="507"/>
      <c r="O27" s="508"/>
      <c r="P27" s="493">
        <f t="shared" si="0"/>
        <v>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0</v>
      </c>
      <c r="W27" s="515">
        <f t="shared" si="10"/>
        <v>0</v>
      </c>
      <c r="Y27" s="513">
        <f t="shared" si="11"/>
        <v>0</v>
      </c>
      <c r="Z27" s="510">
        <f t="shared" si="12"/>
        <v>0</v>
      </c>
      <c r="AA27" s="511">
        <f t="shared" si="13"/>
        <v>0</v>
      </c>
      <c r="AE27" s="598" t="str">
        <f t="shared" si="3"/>
        <v/>
      </c>
      <c r="AF27" s="502"/>
      <c r="AG27" s="606"/>
      <c r="AH27" s="607"/>
      <c r="AI27" s="608">
        <f t="shared" si="4"/>
        <v>0</v>
      </c>
      <c r="AJ27" s="609">
        <f t="shared" si="5"/>
        <v>0</v>
      </c>
      <c r="AL27" s="602">
        <f t="shared" si="6"/>
        <v>0</v>
      </c>
      <c r="AM27" s="610">
        <f t="shared" si="6"/>
        <v>0</v>
      </c>
      <c r="AN27" s="611">
        <f t="shared" si="7"/>
        <v>0</v>
      </c>
      <c r="AO27" s="612" t="str">
        <f t="shared" si="8"/>
        <v/>
      </c>
    </row>
    <row r="28" spans="1:41" x14ac:dyDescent="0.2">
      <c r="A28" s="502"/>
      <c r="B28" s="503"/>
      <c r="C28" s="504"/>
      <c r="D28" s="504"/>
      <c r="E28" s="504"/>
      <c r="F28" s="505"/>
      <c r="G28" s="504"/>
      <c r="H28" s="505"/>
      <c r="I28" s="504"/>
      <c r="J28" s="504"/>
      <c r="K28" s="504"/>
      <c r="L28" s="506"/>
      <c r="M28" s="505"/>
      <c r="N28" s="507"/>
      <c r="O28" s="508"/>
      <c r="P28" s="493">
        <f t="shared" si="0"/>
        <v>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0</v>
      </c>
      <c r="W28" s="515">
        <f t="shared" si="10"/>
        <v>0</v>
      </c>
      <c r="Y28" s="513">
        <f t="shared" si="11"/>
        <v>0</v>
      </c>
      <c r="Z28" s="510">
        <f t="shared" si="12"/>
        <v>0</v>
      </c>
      <c r="AA28" s="511">
        <f t="shared" si="13"/>
        <v>0</v>
      </c>
      <c r="AE28" s="598" t="str">
        <f t="shared" si="3"/>
        <v/>
      </c>
      <c r="AF28" s="502"/>
      <c r="AG28" s="606"/>
      <c r="AH28" s="607"/>
      <c r="AI28" s="608">
        <f t="shared" si="4"/>
        <v>0</v>
      </c>
      <c r="AJ28" s="609">
        <f t="shared" si="5"/>
        <v>0</v>
      </c>
      <c r="AL28" s="602">
        <f t="shared" si="6"/>
        <v>0</v>
      </c>
      <c r="AM28" s="610">
        <f t="shared" si="6"/>
        <v>0</v>
      </c>
      <c r="AN28" s="611">
        <f t="shared" si="7"/>
        <v>0</v>
      </c>
      <c r="AO28" s="612" t="str">
        <f t="shared" si="8"/>
        <v/>
      </c>
    </row>
    <row r="29" spans="1:41" x14ac:dyDescent="0.2">
      <c r="A29" s="502"/>
      <c r="B29" s="503"/>
      <c r="C29" s="504"/>
      <c r="D29" s="504"/>
      <c r="E29" s="504"/>
      <c r="F29" s="505"/>
      <c r="G29" s="504"/>
      <c r="H29" s="505"/>
      <c r="I29" s="504"/>
      <c r="J29" s="504"/>
      <c r="K29" s="504"/>
      <c r="L29" s="506"/>
      <c r="M29" s="505"/>
      <c r="N29" s="507"/>
      <c r="O29" s="508"/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/>
      </c>
      <c r="AF29" s="502"/>
      <c r="AG29" s="606"/>
      <c r="AH29" s="607"/>
      <c r="AI29" s="608">
        <f t="shared" si="4"/>
        <v>0</v>
      </c>
      <c r="AJ29" s="609">
        <f t="shared" si="5"/>
        <v>0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/>
      <c r="B30" s="503"/>
      <c r="C30" s="504"/>
      <c r="D30" s="504"/>
      <c r="E30" s="504"/>
      <c r="F30" s="505"/>
      <c r="G30" s="504"/>
      <c r="H30" s="505"/>
      <c r="I30" s="504"/>
      <c r="J30" s="504"/>
      <c r="K30" s="504"/>
      <c r="L30" s="506"/>
      <c r="M30" s="505"/>
      <c r="N30" s="507"/>
      <c r="O30" s="508"/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/>
      </c>
      <c r="AF30" s="502"/>
      <c r="AG30" s="606"/>
      <c r="AH30" s="607"/>
      <c r="AI30" s="608">
        <f t="shared" si="4"/>
        <v>0</v>
      </c>
      <c r="AJ30" s="609">
        <f t="shared" si="5"/>
        <v>0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/>
      <c r="B31" s="503"/>
      <c r="C31" s="504"/>
      <c r="D31" s="504"/>
      <c r="E31" s="504"/>
      <c r="F31" s="505"/>
      <c r="G31" s="504"/>
      <c r="H31" s="505"/>
      <c r="I31" s="504"/>
      <c r="J31" s="504"/>
      <c r="K31" s="504"/>
      <c r="L31" s="506"/>
      <c r="M31" s="505"/>
      <c r="N31" s="507"/>
      <c r="O31" s="508"/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/>
      </c>
      <c r="AF31" s="502"/>
      <c r="AG31" s="606"/>
      <c r="AH31" s="607"/>
      <c r="AI31" s="608">
        <f t="shared" si="4"/>
        <v>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/>
      <c r="B32" s="503"/>
      <c r="C32" s="504"/>
      <c r="D32" s="504"/>
      <c r="E32" s="504"/>
      <c r="F32" s="505"/>
      <c r="G32" s="504"/>
      <c r="H32" s="505"/>
      <c r="I32" s="504"/>
      <c r="J32" s="504"/>
      <c r="K32" s="504"/>
      <c r="L32" s="506"/>
      <c r="M32" s="505"/>
      <c r="N32" s="507"/>
      <c r="O32" s="508"/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/>
      </c>
      <c r="AF32" s="502"/>
      <c r="AG32" s="606"/>
      <c r="AH32" s="607"/>
      <c r="AI32" s="608">
        <f t="shared" si="4"/>
        <v>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/>
      <c r="B33" s="503"/>
      <c r="C33" s="504"/>
      <c r="D33" s="504"/>
      <c r="E33" s="504"/>
      <c r="F33" s="505"/>
      <c r="G33" s="504"/>
      <c r="H33" s="505"/>
      <c r="I33" s="504"/>
      <c r="J33" s="504"/>
      <c r="K33" s="504"/>
      <c r="L33" s="506"/>
      <c r="M33" s="505"/>
      <c r="N33" s="507"/>
      <c r="O33" s="508"/>
      <c r="P33" s="493">
        <f t="shared" si="0"/>
        <v>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0</v>
      </c>
      <c r="W33" s="519">
        <f t="shared" si="10"/>
        <v>0</v>
      </c>
      <c r="Y33" s="513">
        <f t="shared" si="11"/>
        <v>0</v>
      </c>
      <c r="Z33" s="510">
        <f t="shared" si="12"/>
        <v>0</v>
      </c>
      <c r="AA33" s="511">
        <f t="shared" si="13"/>
        <v>0</v>
      </c>
      <c r="AE33" s="598" t="str">
        <f t="shared" si="3"/>
        <v/>
      </c>
      <c r="AF33" s="502"/>
      <c r="AG33" s="606"/>
      <c r="AH33" s="607"/>
      <c r="AI33" s="608">
        <f t="shared" si="4"/>
        <v>0</v>
      </c>
      <c r="AJ33" s="609">
        <f t="shared" si="5"/>
        <v>0</v>
      </c>
      <c r="AL33" s="602">
        <f t="shared" si="6"/>
        <v>0</v>
      </c>
      <c r="AM33" s="613">
        <f t="shared" si="6"/>
        <v>0</v>
      </c>
      <c r="AN33" s="611">
        <f t="shared" si="7"/>
        <v>0</v>
      </c>
      <c r="AO33" s="612" t="str">
        <f t="shared" si="8"/>
        <v/>
      </c>
    </row>
    <row r="34" spans="1:41" ht="13.5" thickBot="1" x14ac:dyDescent="0.25">
      <c r="A34" s="148"/>
      <c r="B34" s="520"/>
      <c r="C34" s="146"/>
      <c r="D34" s="146"/>
      <c r="E34" s="146"/>
      <c r="F34" s="521"/>
      <c r="G34" s="146"/>
      <c r="H34" s="521"/>
      <c r="I34" s="146"/>
      <c r="J34" s="146"/>
      <c r="K34" s="146"/>
      <c r="L34" s="522"/>
      <c r="M34" s="521"/>
      <c r="N34" s="523"/>
      <c r="O34" s="524"/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/>
      </c>
      <c r="AF34" s="148"/>
      <c r="AG34" s="614"/>
      <c r="AH34" s="615"/>
      <c r="AI34" s="616">
        <f t="shared" si="4"/>
        <v>0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0</v>
      </c>
      <c r="K36" s="533" t="s">
        <v>170</v>
      </c>
      <c r="L36" s="535">
        <f>MAX(L3:L34)</f>
        <v>0</v>
      </c>
      <c r="M36" s="535">
        <f>MAX(M3:M34)</f>
        <v>0</v>
      </c>
      <c r="N36" s="533" t="s">
        <v>68</v>
      </c>
      <c r="O36" s="535">
        <f>SUM(O3:O33)</f>
        <v>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0</v>
      </c>
      <c r="W36" s="539">
        <f>SUM(W3:W33)</f>
        <v>0</v>
      </c>
      <c r="Y36" s="540">
        <f>SUM(Y3:Y33)</f>
        <v>0</v>
      </c>
      <c r="Z36" s="541">
        <f>SUM(Z3:Z33)</f>
        <v>0</v>
      </c>
      <c r="AA36" s="542">
        <f>SUM(AA3:AA33)</f>
        <v>0</v>
      </c>
      <c r="AF36" s="621" t="s">
        <v>208</v>
      </c>
      <c r="AG36" s="534">
        <f>COUNT(AG3:AG34)</f>
        <v>0</v>
      </c>
      <c r="AJ36" s="622">
        <f>SUM(AJ3:AJ33)</f>
        <v>0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 t="e">
        <f>AVERAGE(L3:L34)</f>
        <v>#DIV/0!</v>
      </c>
      <c r="M37" s="543" t="e">
        <f>AVERAGE(M3:M34)</f>
        <v>#DIV/0!</v>
      </c>
      <c r="N37" s="533" t="s">
        <v>172</v>
      </c>
      <c r="O37" s="544">
        <f>O36*35.31467</f>
        <v>0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 t="str">
        <f>IFERROR(AN36/SUM(AM3:AM33),"")</f>
        <v/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0</v>
      </c>
      <c r="M38" s="544">
        <f>MIN(M3:M34)</f>
        <v>0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 t="e">
        <f>L37*(1+$L$43)</f>
        <v>#DIV/0!</v>
      </c>
      <c r="M44" s="551" t="e">
        <f>M37*(1+$L$43)</f>
        <v>#DIV/0!</v>
      </c>
    </row>
    <row r="45" spans="1:41" x14ac:dyDescent="0.2">
      <c r="K45" s="550" t="s">
        <v>186</v>
      </c>
      <c r="L45" s="551" t="e">
        <f>L37*(1-$L$43)</f>
        <v>#DIV/0!</v>
      </c>
      <c r="M45" s="551" t="e">
        <f>M37*(1-$L$43)</f>
        <v>#DIV/0!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151</v>
      </c>
      <c r="B3" s="487">
        <v>0.375</v>
      </c>
      <c r="C3" s="488">
        <v>2013</v>
      </c>
      <c r="D3" s="488">
        <v>3</v>
      </c>
      <c r="E3" s="488">
        <v>1</v>
      </c>
      <c r="F3" s="489">
        <v>630164</v>
      </c>
      <c r="G3" s="488">
        <v>0</v>
      </c>
      <c r="H3" s="489">
        <v>735111</v>
      </c>
      <c r="I3" s="488">
        <v>0</v>
      </c>
      <c r="J3" s="488">
        <v>0</v>
      </c>
      <c r="K3" s="488">
        <v>0</v>
      </c>
      <c r="L3" s="490">
        <v>324.14370000000002</v>
      </c>
      <c r="M3" s="489">
        <v>26.5</v>
      </c>
      <c r="N3" s="491">
        <v>0</v>
      </c>
      <c r="O3" s="492">
        <v>1663</v>
      </c>
      <c r="P3" s="493">
        <f>F4-F3</f>
        <v>1663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1663</v>
      </c>
      <c r="W3" s="498">
        <f>V3*35.31467</f>
        <v>58728.29621</v>
      </c>
      <c r="X3" s="497"/>
      <c r="Y3" s="499">
        <f>V3*R3/1000000</f>
        <v>14.342908048701306</v>
      </c>
      <c r="Z3" s="500">
        <f>S3*V3/1000000</f>
        <v>60.050887418302615</v>
      </c>
      <c r="AA3" s="501">
        <f>W3*T3/1000000</f>
        <v>56.917097806880506</v>
      </c>
      <c r="AE3" s="598" t="str">
        <f>RIGHT(F3,6)</f>
        <v>630164</v>
      </c>
      <c r="AF3" s="486">
        <v>151</v>
      </c>
      <c r="AG3" s="491">
        <v>1</v>
      </c>
      <c r="AH3" s="599">
        <v>630164</v>
      </c>
      <c r="AI3" s="600">
        <f>IFERROR(AE3*1,0)</f>
        <v>630164</v>
      </c>
      <c r="AJ3" s="601">
        <f>(AI3-AH3)</f>
        <v>0</v>
      </c>
      <c r="AL3" s="602">
        <f>AH4-AH3</f>
        <v>1666</v>
      </c>
      <c r="AM3" s="603">
        <f>AI4-AI3</f>
        <v>1663</v>
      </c>
      <c r="AN3" s="604">
        <f>(AM3-AL3)</f>
        <v>-3</v>
      </c>
      <c r="AO3" s="605">
        <f>IFERROR(AN3/AM3,"")</f>
        <v>-1.8039687312086591E-3</v>
      </c>
    </row>
    <row r="4" spans="1:41" x14ac:dyDescent="0.2">
      <c r="A4" s="502">
        <v>151</v>
      </c>
      <c r="B4" s="503">
        <v>0.375</v>
      </c>
      <c r="C4" s="504">
        <v>2013</v>
      </c>
      <c r="D4" s="504">
        <v>3</v>
      </c>
      <c r="E4" s="504">
        <v>2</v>
      </c>
      <c r="F4" s="505">
        <v>631827</v>
      </c>
      <c r="G4" s="504">
        <v>16318278</v>
      </c>
      <c r="H4" s="505">
        <v>426026</v>
      </c>
      <c r="I4" s="504">
        <v>4260262</v>
      </c>
      <c r="J4" s="504">
        <v>1</v>
      </c>
      <c r="K4" s="504">
        <v>12</v>
      </c>
      <c r="L4" s="506">
        <v>99.357900000000001</v>
      </c>
      <c r="M4" s="505">
        <v>14.77</v>
      </c>
      <c r="N4" s="507">
        <v>109.55</v>
      </c>
      <c r="O4" s="508">
        <v>81</v>
      </c>
      <c r="P4" s="493">
        <f t="shared" ref="P4:P33" si="0">F5-F4</f>
        <v>81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81</v>
      </c>
      <c r="W4" s="512">
        <f>V4*35.31467</f>
        <v>2860.4882699999998</v>
      </c>
      <c r="X4" s="497"/>
      <c r="Y4" s="513">
        <f>V4*R4/1000000</f>
        <v>0.69799027778053391</v>
      </c>
      <c r="Z4" s="510">
        <f>S4*V4/1000000</f>
        <v>2.922345695011539</v>
      </c>
      <c r="AA4" s="511">
        <f>W4*T4/1000000</f>
        <v>2.7698414278186427</v>
      </c>
      <c r="AE4" s="598" t="str">
        <f t="shared" ref="AE4:AE34" si="3">RIGHT(F4,6)</f>
        <v>631827</v>
      </c>
      <c r="AF4" s="502">
        <v>151</v>
      </c>
      <c r="AG4" s="606">
        <v>2</v>
      </c>
      <c r="AH4" s="607">
        <v>631830</v>
      </c>
      <c r="AI4" s="608">
        <f t="shared" ref="AI4:AI34" si="4">IFERROR(AE4*1,0)</f>
        <v>631827</v>
      </c>
      <c r="AJ4" s="609">
        <f t="shared" ref="AJ4:AJ34" si="5">(AI4-AH4)</f>
        <v>-3</v>
      </c>
      <c r="AL4" s="602">
        <f t="shared" ref="AL4:AM33" si="6">AH5-AH4</f>
        <v>78</v>
      </c>
      <c r="AM4" s="610">
        <f t="shared" si="6"/>
        <v>81</v>
      </c>
      <c r="AN4" s="611">
        <f t="shared" ref="AN4:AN33" si="7">(AM4-AL4)</f>
        <v>3</v>
      </c>
      <c r="AO4" s="612">
        <f t="shared" ref="AO4:AO33" si="8">IFERROR(AN4/AM4,"")</f>
        <v>3.7037037037037035E-2</v>
      </c>
    </row>
    <row r="5" spans="1:41" x14ac:dyDescent="0.2">
      <c r="A5" s="502">
        <v>151</v>
      </c>
      <c r="B5" s="503">
        <v>0.375</v>
      </c>
      <c r="C5" s="504">
        <v>2013</v>
      </c>
      <c r="D5" s="504">
        <v>3</v>
      </c>
      <c r="E5" s="504">
        <v>3</v>
      </c>
      <c r="F5" s="505">
        <v>631908</v>
      </c>
      <c r="G5" s="504">
        <v>16319089</v>
      </c>
      <c r="H5" s="505">
        <v>426037</v>
      </c>
      <c r="I5" s="504">
        <v>4260372</v>
      </c>
      <c r="J5" s="504">
        <v>1</v>
      </c>
      <c r="K5" s="504">
        <v>12</v>
      </c>
      <c r="L5" s="506">
        <v>100.6563</v>
      </c>
      <c r="M5" s="505">
        <v>5.82</v>
      </c>
      <c r="N5" s="507">
        <v>25.13</v>
      </c>
      <c r="O5" s="508">
        <v>261</v>
      </c>
      <c r="P5" s="493">
        <f t="shared" si="0"/>
        <v>261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261</v>
      </c>
      <c r="W5" s="512">
        <f t="shared" ref="W5:W33" si="10">V5*35.31467</f>
        <v>9217.1288700000005</v>
      </c>
      <c r="X5" s="497"/>
      <c r="Y5" s="513">
        <f t="shared" ref="Y5:Y33" si="11">V5*R5/1000000</f>
        <v>2.2550862957839493</v>
      </c>
      <c r="Z5" s="510">
        <f t="shared" ref="Z5:Z33" si="12">S5*V5/1000000</f>
        <v>9.4415953031882385</v>
      </c>
      <c r="AA5" s="511">
        <f t="shared" ref="AA5:AA33" si="13">W5*T5/1000000</f>
        <v>8.9488802984909857</v>
      </c>
      <c r="AE5" s="598" t="str">
        <f t="shared" si="3"/>
        <v>631908</v>
      </c>
      <c r="AF5" s="502">
        <v>151</v>
      </c>
      <c r="AG5" s="606">
        <v>3</v>
      </c>
      <c r="AH5" s="607">
        <v>631908</v>
      </c>
      <c r="AI5" s="608">
        <f t="shared" si="4"/>
        <v>631908</v>
      </c>
      <c r="AJ5" s="609">
        <f t="shared" si="5"/>
        <v>0</v>
      </c>
      <c r="AL5" s="602">
        <f t="shared" si="6"/>
        <v>273</v>
      </c>
      <c r="AM5" s="610">
        <f t="shared" si="6"/>
        <v>261</v>
      </c>
      <c r="AN5" s="611">
        <f t="shared" si="7"/>
        <v>-12</v>
      </c>
      <c r="AO5" s="612">
        <f t="shared" si="8"/>
        <v>-4.5977011494252873E-2</v>
      </c>
    </row>
    <row r="6" spans="1:41" x14ac:dyDescent="0.2">
      <c r="A6" s="502">
        <v>151</v>
      </c>
      <c r="B6" s="503">
        <v>0.375</v>
      </c>
      <c r="C6" s="504">
        <v>2013</v>
      </c>
      <c r="D6" s="504">
        <v>3</v>
      </c>
      <c r="E6" s="504">
        <v>4</v>
      </c>
      <c r="F6" s="505">
        <v>632169</v>
      </c>
      <c r="G6" s="504">
        <v>16321697</v>
      </c>
      <c r="H6" s="505">
        <v>426072</v>
      </c>
      <c r="I6" s="504">
        <v>4260728</v>
      </c>
      <c r="J6" s="504">
        <v>1</v>
      </c>
      <c r="K6" s="504">
        <v>12</v>
      </c>
      <c r="L6" s="506">
        <v>100.2038</v>
      </c>
      <c r="M6" s="505">
        <v>12.49</v>
      </c>
      <c r="N6" s="507">
        <v>116.92</v>
      </c>
      <c r="O6" s="508">
        <v>1971</v>
      </c>
      <c r="P6" s="493">
        <f t="shared" si="0"/>
        <v>1971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1971</v>
      </c>
      <c r="W6" s="512">
        <f t="shared" si="10"/>
        <v>69605.214569999996</v>
      </c>
      <c r="X6" s="497"/>
      <c r="Y6" s="513">
        <f t="shared" si="11"/>
        <v>17.090611683739169</v>
      </c>
      <c r="Z6" s="510">
        <f t="shared" si="12"/>
        <v>71.554972997479155</v>
      </c>
      <c r="AA6" s="511">
        <f t="shared" si="13"/>
        <v>67.820836156784509</v>
      </c>
      <c r="AE6" s="598" t="str">
        <f t="shared" si="3"/>
        <v>632169</v>
      </c>
      <c r="AF6" s="502">
        <v>151</v>
      </c>
      <c r="AG6" s="606">
        <v>4</v>
      </c>
      <c r="AH6" s="607">
        <v>632181</v>
      </c>
      <c r="AI6" s="608">
        <f t="shared" si="4"/>
        <v>632169</v>
      </c>
      <c r="AJ6" s="609">
        <f t="shared" si="5"/>
        <v>-12</v>
      </c>
      <c r="AL6" s="602">
        <f t="shared" si="6"/>
        <v>1971</v>
      </c>
      <c r="AM6" s="610">
        <f t="shared" si="6"/>
        <v>1971</v>
      </c>
      <c r="AN6" s="611">
        <f t="shared" si="7"/>
        <v>0</v>
      </c>
      <c r="AO6" s="612">
        <f t="shared" si="8"/>
        <v>0</v>
      </c>
    </row>
    <row r="7" spans="1:41" x14ac:dyDescent="0.2">
      <c r="A7" s="502">
        <v>151</v>
      </c>
      <c r="B7" s="503">
        <v>0.375</v>
      </c>
      <c r="C7" s="504">
        <v>2013</v>
      </c>
      <c r="D7" s="504">
        <v>3</v>
      </c>
      <c r="E7" s="504">
        <v>5</v>
      </c>
      <c r="F7" s="505">
        <v>634140</v>
      </c>
      <c r="G7" s="504">
        <v>16341407</v>
      </c>
      <c r="H7" s="505">
        <v>426352</v>
      </c>
      <c r="I7" s="504">
        <v>4263522</v>
      </c>
      <c r="J7" s="504">
        <v>1</v>
      </c>
      <c r="K7" s="504">
        <v>12</v>
      </c>
      <c r="L7" s="506">
        <v>98.670299999999997</v>
      </c>
      <c r="M7" s="505">
        <v>17.54</v>
      </c>
      <c r="N7" s="507">
        <v>115.91</v>
      </c>
      <c r="O7" s="508">
        <v>1886</v>
      </c>
      <c r="P7" s="493">
        <f t="shared" si="0"/>
        <v>1886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1886</v>
      </c>
      <c r="W7" s="512">
        <f t="shared" si="10"/>
        <v>66603.467619999996</v>
      </c>
      <c r="X7" s="497"/>
      <c r="Y7" s="513">
        <f t="shared" si="11"/>
        <v>16.339931635516205</v>
      </c>
      <c r="Z7" s="510">
        <f t="shared" si="12"/>
        <v>68.412025771579238</v>
      </c>
      <c r="AA7" s="511">
        <f t="shared" si="13"/>
        <v>64.841905414057678</v>
      </c>
      <c r="AE7" s="598" t="str">
        <f t="shared" si="3"/>
        <v>634140</v>
      </c>
      <c r="AF7" s="502">
        <v>151</v>
      </c>
      <c r="AG7" s="606">
        <v>5</v>
      </c>
      <c r="AH7" s="607">
        <v>634152</v>
      </c>
      <c r="AI7" s="608">
        <f t="shared" si="4"/>
        <v>634140</v>
      </c>
      <c r="AJ7" s="609">
        <f t="shared" si="5"/>
        <v>-12</v>
      </c>
      <c r="AL7" s="602">
        <f t="shared" si="6"/>
        <v>1883</v>
      </c>
      <c r="AM7" s="610">
        <f t="shared" si="6"/>
        <v>1886</v>
      </c>
      <c r="AN7" s="611">
        <f t="shared" si="7"/>
        <v>3</v>
      </c>
      <c r="AO7" s="612">
        <f t="shared" si="8"/>
        <v>1.5906680805938495E-3</v>
      </c>
    </row>
    <row r="8" spans="1:41" x14ac:dyDescent="0.2">
      <c r="A8" s="502">
        <v>151</v>
      </c>
      <c r="B8" s="503">
        <v>0.375</v>
      </c>
      <c r="C8" s="504">
        <v>2013</v>
      </c>
      <c r="D8" s="504">
        <v>3</v>
      </c>
      <c r="E8" s="504">
        <v>6</v>
      </c>
      <c r="F8" s="505">
        <v>636026</v>
      </c>
      <c r="G8" s="504">
        <v>16360268</v>
      </c>
      <c r="H8" s="505">
        <v>426619</v>
      </c>
      <c r="I8" s="504">
        <v>4266197</v>
      </c>
      <c r="J8" s="504">
        <v>1</v>
      </c>
      <c r="K8" s="504">
        <v>12</v>
      </c>
      <c r="L8" s="506">
        <v>98.842200000000005</v>
      </c>
      <c r="M8" s="505">
        <v>17.600000000000001</v>
      </c>
      <c r="N8" s="507">
        <v>127.96</v>
      </c>
      <c r="O8" s="508">
        <v>1855</v>
      </c>
      <c r="P8" s="493">
        <f t="shared" si="0"/>
        <v>1855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1855</v>
      </c>
      <c r="W8" s="512">
        <f t="shared" si="10"/>
        <v>65508.712849999996</v>
      </c>
      <c r="X8" s="497"/>
      <c r="Y8" s="513">
        <f t="shared" si="11"/>
        <v>16.096299723166815</v>
      </c>
      <c r="Z8" s="510">
        <f t="shared" si="12"/>
        <v>67.391987680954827</v>
      </c>
      <c r="AA8" s="511">
        <f t="shared" si="13"/>
        <v>63.87509858959902</v>
      </c>
      <c r="AE8" s="598" t="str">
        <f t="shared" si="3"/>
        <v>636026</v>
      </c>
      <c r="AF8" s="502">
        <v>151</v>
      </c>
      <c r="AG8" s="606">
        <v>6</v>
      </c>
      <c r="AH8" s="607">
        <v>636035</v>
      </c>
      <c r="AI8" s="608">
        <f t="shared" si="4"/>
        <v>636026</v>
      </c>
      <c r="AJ8" s="609">
        <f t="shared" si="5"/>
        <v>-9</v>
      </c>
      <c r="AL8" s="602">
        <f t="shared" si="6"/>
        <v>1855</v>
      </c>
      <c r="AM8" s="610">
        <f t="shared" si="6"/>
        <v>1855</v>
      </c>
      <c r="AN8" s="611">
        <f t="shared" si="7"/>
        <v>0</v>
      </c>
      <c r="AO8" s="612">
        <f t="shared" si="8"/>
        <v>0</v>
      </c>
    </row>
    <row r="9" spans="1:41" x14ac:dyDescent="0.2">
      <c r="A9" s="502">
        <v>151</v>
      </c>
      <c r="B9" s="503">
        <v>0.375</v>
      </c>
      <c r="C9" s="504">
        <v>2013</v>
      </c>
      <c r="D9" s="504">
        <v>3</v>
      </c>
      <c r="E9" s="504">
        <v>7</v>
      </c>
      <c r="F9" s="505">
        <v>637881</v>
      </c>
      <c r="G9" s="504">
        <v>16378813</v>
      </c>
      <c r="H9" s="505">
        <v>426883</v>
      </c>
      <c r="I9" s="504">
        <v>4268834</v>
      </c>
      <c r="J9" s="504">
        <v>1</v>
      </c>
      <c r="K9" s="504">
        <v>12</v>
      </c>
      <c r="L9" s="506">
        <v>98.817400000000006</v>
      </c>
      <c r="M9" s="505">
        <v>18.41</v>
      </c>
      <c r="N9" s="507">
        <v>125.65</v>
      </c>
      <c r="O9" s="508">
        <v>1762</v>
      </c>
      <c r="P9" s="493">
        <f t="shared" si="0"/>
        <v>1762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1762</v>
      </c>
      <c r="W9" s="512">
        <f t="shared" si="10"/>
        <v>62224.448539999998</v>
      </c>
      <c r="X9" s="497"/>
      <c r="Y9" s="513">
        <f t="shared" si="11"/>
        <v>15.301601541391211</v>
      </c>
      <c r="Z9" s="510">
        <f t="shared" si="12"/>
        <v>64.064745333496717</v>
      </c>
      <c r="AA9" s="511">
        <f t="shared" si="13"/>
        <v>60.721490270735977</v>
      </c>
      <c r="AE9" s="598" t="str">
        <f t="shared" si="3"/>
        <v>637881</v>
      </c>
      <c r="AF9" s="502">
        <v>151</v>
      </c>
      <c r="AG9" s="606">
        <v>7</v>
      </c>
      <c r="AH9" s="607">
        <v>637890</v>
      </c>
      <c r="AI9" s="608">
        <f t="shared" si="4"/>
        <v>637881</v>
      </c>
      <c r="AJ9" s="609">
        <f t="shared" si="5"/>
        <v>-9</v>
      </c>
      <c r="AL9" s="602">
        <f t="shared" si="6"/>
        <v>1766</v>
      </c>
      <c r="AM9" s="610">
        <f t="shared" si="6"/>
        <v>1762</v>
      </c>
      <c r="AN9" s="611">
        <f t="shared" si="7"/>
        <v>-4</v>
      </c>
      <c r="AO9" s="612">
        <f t="shared" si="8"/>
        <v>-2.2701475595913734E-3</v>
      </c>
    </row>
    <row r="10" spans="1:41" x14ac:dyDescent="0.2">
      <c r="A10" s="502">
        <v>151</v>
      </c>
      <c r="B10" s="503">
        <v>0.375</v>
      </c>
      <c r="C10" s="504">
        <v>2013</v>
      </c>
      <c r="D10" s="504">
        <v>3</v>
      </c>
      <c r="E10" s="504">
        <v>8</v>
      </c>
      <c r="F10" s="505">
        <v>639643</v>
      </c>
      <c r="G10" s="504">
        <v>16396439</v>
      </c>
      <c r="H10" s="505">
        <v>427134</v>
      </c>
      <c r="I10" s="504">
        <v>4271349</v>
      </c>
      <c r="J10" s="504">
        <v>1</v>
      </c>
      <c r="K10" s="504">
        <v>12</v>
      </c>
      <c r="L10" s="506">
        <v>98.929500000000004</v>
      </c>
      <c r="M10" s="505">
        <v>19.809999999999999</v>
      </c>
      <c r="N10" s="507">
        <v>113.34</v>
      </c>
      <c r="O10" s="508">
        <v>1591</v>
      </c>
      <c r="P10" s="493">
        <f t="shared" si="0"/>
        <v>1591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1591</v>
      </c>
      <c r="W10" s="512">
        <f t="shared" si="10"/>
        <v>56185.639969999997</v>
      </c>
      <c r="X10" s="497"/>
      <c r="Y10" s="513">
        <f t="shared" si="11"/>
        <v>13.810528553007211</v>
      </c>
      <c r="Z10" s="510">
        <f t="shared" si="12"/>
        <v>57.821920945730589</v>
      </c>
      <c r="AA10" s="511">
        <f t="shared" si="13"/>
        <v>54.804451213601794</v>
      </c>
      <c r="AE10" s="598" t="str">
        <f t="shared" si="3"/>
        <v>639643</v>
      </c>
      <c r="AF10" s="502">
        <v>151</v>
      </c>
      <c r="AG10" s="606">
        <v>8</v>
      </c>
      <c r="AH10" s="607">
        <v>639656</v>
      </c>
      <c r="AI10" s="608">
        <f t="shared" si="4"/>
        <v>639643</v>
      </c>
      <c r="AJ10" s="609">
        <f t="shared" si="5"/>
        <v>-13</v>
      </c>
      <c r="AL10" s="602">
        <f t="shared" si="6"/>
        <v>1578</v>
      </c>
      <c r="AM10" s="610">
        <f t="shared" si="6"/>
        <v>1591</v>
      </c>
      <c r="AN10" s="611">
        <f t="shared" si="7"/>
        <v>13</v>
      </c>
      <c r="AO10" s="612">
        <f t="shared" si="8"/>
        <v>8.1709616593337517E-3</v>
      </c>
    </row>
    <row r="11" spans="1:41" x14ac:dyDescent="0.2">
      <c r="A11" s="502">
        <v>151</v>
      </c>
      <c r="B11" s="503">
        <v>0.375</v>
      </c>
      <c r="C11" s="504">
        <v>2013</v>
      </c>
      <c r="D11" s="504">
        <v>3</v>
      </c>
      <c r="E11" s="504">
        <v>9</v>
      </c>
      <c r="F11" s="505">
        <v>641234</v>
      </c>
      <c r="G11" s="504">
        <v>16412344</v>
      </c>
      <c r="H11" s="505">
        <v>427362</v>
      </c>
      <c r="I11" s="504">
        <v>4273620</v>
      </c>
      <c r="J11" s="504">
        <v>1</v>
      </c>
      <c r="K11" s="504">
        <v>12</v>
      </c>
      <c r="L11" s="506">
        <v>99.180999999999997</v>
      </c>
      <c r="M11" s="505">
        <v>20.190000000000001</v>
      </c>
      <c r="N11" s="507">
        <v>129.77000000000001</v>
      </c>
      <c r="O11" s="508">
        <v>35</v>
      </c>
      <c r="P11" s="493">
        <f t="shared" si="0"/>
        <v>35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35</v>
      </c>
      <c r="W11" s="515">
        <f t="shared" si="10"/>
        <v>1236.0134499999999</v>
      </c>
      <c r="Y11" s="513">
        <f t="shared" si="11"/>
        <v>0.3040309225820832</v>
      </c>
      <c r="Z11" s="510">
        <f t="shared" si="12"/>
        <v>1.2729166666666658</v>
      </c>
      <c r="AA11" s="511">
        <f t="shared" si="13"/>
        <v>1.2064887886168525</v>
      </c>
      <c r="AE11" s="598" t="str">
        <f t="shared" si="3"/>
        <v>641234</v>
      </c>
      <c r="AF11" s="502">
        <v>151</v>
      </c>
      <c r="AG11" s="606">
        <v>9</v>
      </c>
      <c r="AH11" s="607">
        <v>641234</v>
      </c>
      <c r="AI11" s="608">
        <f t="shared" si="4"/>
        <v>641234</v>
      </c>
      <c r="AJ11" s="609">
        <f t="shared" si="5"/>
        <v>0</v>
      </c>
      <c r="AL11" s="602">
        <f t="shared" si="6"/>
        <v>35</v>
      </c>
      <c r="AM11" s="610">
        <f t="shared" si="6"/>
        <v>35</v>
      </c>
      <c r="AN11" s="611">
        <f t="shared" si="7"/>
        <v>0</v>
      </c>
      <c r="AO11" s="612">
        <f t="shared" si="8"/>
        <v>0</v>
      </c>
    </row>
    <row r="12" spans="1:41" x14ac:dyDescent="0.2">
      <c r="A12" s="502">
        <v>151</v>
      </c>
      <c r="B12" s="503">
        <v>0.375</v>
      </c>
      <c r="C12" s="504">
        <v>2013</v>
      </c>
      <c r="D12" s="504">
        <v>3</v>
      </c>
      <c r="E12" s="504">
        <v>10</v>
      </c>
      <c r="F12" s="505">
        <v>641269</v>
      </c>
      <c r="G12" s="504">
        <v>16412691</v>
      </c>
      <c r="H12" s="505">
        <v>427367</v>
      </c>
      <c r="I12" s="504">
        <v>4273671</v>
      </c>
      <c r="J12" s="504">
        <v>1</v>
      </c>
      <c r="K12" s="504">
        <v>12</v>
      </c>
      <c r="L12" s="506">
        <v>100.1588</v>
      </c>
      <c r="M12" s="505">
        <v>20.63</v>
      </c>
      <c r="N12" s="507">
        <v>20.260000000000002</v>
      </c>
      <c r="O12" s="508">
        <v>243</v>
      </c>
      <c r="P12" s="493">
        <f t="shared" si="0"/>
        <v>243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243</v>
      </c>
      <c r="W12" s="515">
        <f t="shared" si="10"/>
        <v>8581.4648099999995</v>
      </c>
      <c r="Y12" s="513">
        <f t="shared" si="11"/>
        <v>2.1138313970793869</v>
      </c>
      <c r="Z12" s="510">
        <f t="shared" si="12"/>
        <v>8.8501892932919759</v>
      </c>
      <c r="AA12" s="511">
        <f t="shared" si="13"/>
        <v>8.3883371465744148</v>
      </c>
      <c r="AE12" s="598" t="str">
        <f t="shared" si="3"/>
        <v>641269</v>
      </c>
      <c r="AF12" s="502">
        <v>151</v>
      </c>
      <c r="AG12" s="606">
        <v>10</v>
      </c>
      <c r="AH12" s="607">
        <v>641269</v>
      </c>
      <c r="AI12" s="608">
        <f t="shared" si="4"/>
        <v>641269</v>
      </c>
      <c r="AJ12" s="609">
        <f t="shared" si="5"/>
        <v>0</v>
      </c>
      <c r="AL12" s="602">
        <f t="shared" si="6"/>
        <v>256</v>
      </c>
      <c r="AM12" s="610">
        <f t="shared" si="6"/>
        <v>243</v>
      </c>
      <c r="AN12" s="611">
        <f t="shared" si="7"/>
        <v>-13</v>
      </c>
      <c r="AO12" s="612">
        <f t="shared" si="8"/>
        <v>-5.3497942386831275E-2</v>
      </c>
    </row>
    <row r="13" spans="1:41" x14ac:dyDescent="0.2">
      <c r="A13" s="502">
        <v>151</v>
      </c>
      <c r="B13" s="503">
        <v>0.375</v>
      </c>
      <c r="C13" s="504">
        <v>2013</v>
      </c>
      <c r="D13" s="504">
        <v>3</v>
      </c>
      <c r="E13" s="504">
        <v>11</v>
      </c>
      <c r="F13" s="505">
        <v>641512</v>
      </c>
      <c r="G13" s="504">
        <v>16415129</v>
      </c>
      <c r="H13" s="505">
        <v>427401</v>
      </c>
      <c r="I13" s="504">
        <v>4274012</v>
      </c>
      <c r="J13" s="504">
        <v>1</v>
      </c>
      <c r="K13" s="504">
        <v>12</v>
      </c>
      <c r="L13" s="506">
        <v>99.597700000000003</v>
      </c>
      <c r="M13" s="505">
        <v>20.68</v>
      </c>
      <c r="N13" s="507">
        <v>82.15</v>
      </c>
      <c r="O13" s="508">
        <v>1879</v>
      </c>
      <c r="P13" s="493">
        <f t="shared" si="0"/>
        <v>1879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1879</v>
      </c>
      <c r="W13" s="515">
        <f t="shared" si="10"/>
        <v>66356.264930000005</v>
      </c>
      <c r="Y13" s="513">
        <f t="shared" si="11"/>
        <v>16.316915449773617</v>
      </c>
      <c r="Z13" s="510">
        <f t="shared" si="12"/>
        <v>68.315661605112183</v>
      </c>
      <c r="AA13" s="511">
        <f t="shared" si="13"/>
        <v>64.750570066260437</v>
      </c>
      <c r="AE13" s="598" t="str">
        <f t="shared" si="3"/>
        <v>641512</v>
      </c>
      <c r="AF13" s="502">
        <v>151</v>
      </c>
      <c r="AG13" s="606">
        <v>11</v>
      </c>
      <c r="AH13" s="607">
        <v>641525</v>
      </c>
      <c r="AI13" s="608">
        <f t="shared" si="4"/>
        <v>641512</v>
      </c>
      <c r="AJ13" s="609">
        <f t="shared" si="5"/>
        <v>-13</v>
      </c>
      <c r="AL13" s="602">
        <f t="shared" si="6"/>
        <v>1880</v>
      </c>
      <c r="AM13" s="610">
        <f t="shared" si="6"/>
        <v>1879</v>
      </c>
      <c r="AN13" s="611">
        <f t="shared" si="7"/>
        <v>-1</v>
      </c>
      <c r="AO13" s="612">
        <f t="shared" si="8"/>
        <v>-5.3219797764768491E-4</v>
      </c>
    </row>
    <row r="14" spans="1:41" x14ac:dyDescent="0.2">
      <c r="A14" s="502">
        <v>151</v>
      </c>
      <c r="B14" s="503">
        <v>0.375</v>
      </c>
      <c r="C14" s="504">
        <v>2013</v>
      </c>
      <c r="D14" s="504">
        <v>3</v>
      </c>
      <c r="E14" s="504">
        <v>12</v>
      </c>
      <c r="F14" s="505">
        <v>643391</v>
      </c>
      <c r="G14" s="504">
        <v>16433911</v>
      </c>
      <c r="H14" s="505">
        <v>427669</v>
      </c>
      <c r="I14" s="504">
        <v>4276696</v>
      </c>
      <c r="J14" s="504">
        <v>1</v>
      </c>
      <c r="K14" s="504">
        <v>12</v>
      </c>
      <c r="L14" s="506">
        <v>98.848699999999994</v>
      </c>
      <c r="M14" s="505">
        <v>20.28</v>
      </c>
      <c r="N14" s="507">
        <v>119.85</v>
      </c>
      <c r="O14" s="508">
        <v>1818</v>
      </c>
      <c r="P14" s="493">
        <f t="shared" si="0"/>
        <v>1818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1818</v>
      </c>
      <c r="W14" s="515">
        <f t="shared" si="10"/>
        <v>64202.070059999998</v>
      </c>
      <c r="Y14" s="513">
        <f t="shared" si="11"/>
        <v>15.793987455995389</v>
      </c>
      <c r="Z14" s="510">
        <f t="shared" si="12"/>
        <v>66.126266680761489</v>
      </c>
      <c r="AA14" s="511">
        <f t="shared" si="13"/>
        <v>62.675429957520336</v>
      </c>
      <c r="AE14" s="598" t="str">
        <f t="shared" si="3"/>
        <v>643391</v>
      </c>
      <c r="AF14" s="502">
        <v>151</v>
      </c>
      <c r="AG14" s="606">
        <v>12</v>
      </c>
      <c r="AH14" s="607">
        <v>643405</v>
      </c>
      <c r="AI14" s="608">
        <f t="shared" si="4"/>
        <v>643391</v>
      </c>
      <c r="AJ14" s="609">
        <f t="shared" si="5"/>
        <v>-14</v>
      </c>
      <c r="AL14" s="602">
        <f t="shared" si="6"/>
        <v>1813</v>
      </c>
      <c r="AM14" s="610">
        <f t="shared" si="6"/>
        <v>1818</v>
      </c>
      <c r="AN14" s="611">
        <f t="shared" si="7"/>
        <v>5</v>
      </c>
      <c r="AO14" s="612">
        <f t="shared" si="8"/>
        <v>2.7502750275027505E-3</v>
      </c>
    </row>
    <row r="15" spans="1:41" x14ac:dyDescent="0.2">
      <c r="A15" s="502">
        <v>151</v>
      </c>
      <c r="B15" s="503">
        <v>0.375</v>
      </c>
      <c r="C15" s="504">
        <v>2013</v>
      </c>
      <c r="D15" s="504">
        <v>3</v>
      </c>
      <c r="E15" s="504">
        <v>13</v>
      </c>
      <c r="F15" s="505">
        <v>645209</v>
      </c>
      <c r="G15" s="504">
        <v>16452090</v>
      </c>
      <c r="H15" s="505">
        <v>427928</v>
      </c>
      <c r="I15" s="504">
        <v>4279288</v>
      </c>
      <c r="J15" s="504">
        <v>1</v>
      </c>
      <c r="K15" s="504">
        <v>12</v>
      </c>
      <c r="L15" s="506">
        <v>98.961699999999993</v>
      </c>
      <c r="M15" s="505">
        <v>19.66</v>
      </c>
      <c r="N15" s="507">
        <v>113.03</v>
      </c>
      <c r="O15" s="508">
        <v>1825</v>
      </c>
      <c r="P15" s="493">
        <f t="shared" si="0"/>
        <v>1825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1825</v>
      </c>
      <c r="W15" s="515">
        <f t="shared" si="10"/>
        <v>64449.272749999996</v>
      </c>
      <c r="Y15" s="513">
        <f t="shared" si="11"/>
        <v>15.817161632226648</v>
      </c>
      <c r="Z15" s="510">
        <f t="shared" si="12"/>
        <v>66.223292321806539</v>
      </c>
      <c r="AA15" s="511">
        <f t="shared" si="13"/>
        <v>62.767392260469613</v>
      </c>
      <c r="AE15" s="598" t="str">
        <f t="shared" si="3"/>
        <v>645209</v>
      </c>
      <c r="AF15" s="502">
        <v>151</v>
      </c>
      <c r="AG15" s="606">
        <v>13</v>
      </c>
      <c r="AH15" s="607">
        <v>645218</v>
      </c>
      <c r="AI15" s="608">
        <f t="shared" si="4"/>
        <v>645209</v>
      </c>
      <c r="AJ15" s="609">
        <f t="shared" si="5"/>
        <v>-9</v>
      </c>
      <c r="AL15" s="602">
        <f t="shared" si="6"/>
        <v>-645218</v>
      </c>
      <c r="AM15" s="610">
        <f t="shared" si="6"/>
        <v>1825</v>
      </c>
      <c r="AN15" s="611">
        <f t="shared" si="7"/>
        <v>647043</v>
      </c>
      <c r="AO15" s="612">
        <f t="shared" si="8"/>
        <v>354.54410958904111</v>
      </c>
    </row>
    <row r="16" spans="1:41" x14ac:dyDescent="0.2">
      <c r="A16" s="502">
        <v>151</v>
      </c>
      <c r="B16" s="503">
        <v>0.375</v>
      </c>
      <c r="C16" s="504">
        <v>2013</v>
      </c>
      <c r="D16" s="504">
        <v>3</v>
      </c>
      <c r="E16" s="504">
        <v>14</v>
      </c>
      <c r="F16" s="505">
        <v>647034</v>
      </c>
      <c r="G16" s="504">
        <v>16470341</v>
      </c>
      <c r="H16" s="505">
        <v>428186</v>
      </c>
      <c r="I16" s="504">
        <v>4281863</v>
      </c>
      <c r="J16" s="504">
        <v>1</v>
      </c>
      <c r="K16" s="504">
        <v>12</v>
      </c>
      <c r="L16" s="506">
        <v>99.102400000000003</v>
      </c>
      <c r="M16" s="505">
        <v>16.36</v>
      </c>
      <c r="N16" s="507">
        <v>123.29</v>
      </c>
      <c r="O16" s="508">
        <v>1978</v>
      </c>
      <c r="P16" s="493">
        <f t="shared" si="0"/>
        <v>1978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1978</v>
      </c>
      <c r="W16" s="515">
        <f t="shared" si="10"/>
        <v>69852.417260000002</v>
      </c>
      <c r="Y16" s="513">
        <f t="shared" si="11"/>
        <v>17.098810565751375</v>
      </c>
      <c r="Z16" s="510">
        <f t="shared" si="12"/>
        <v>71.589300076687849</v>
      </c>
      <c r="AA16" s="511">
        <f t="shared" si="13"/>
        <v>67.853371857899731</v>
      </c>
      <c r="AE16" s="598" t="str">
        <f t="shared" si="3"/>
        <v>647034</v>
      </c>
      <c r="AF16" s="502"/>
      <c r="AG16" s="606"/>
      <c r="AH16" s="607"/>
      <c r="AI16" s="608">
        <f t="shared" si="4"/>
        <v>647034</v>
      </c>
      <c r="AJ16" s="609">
        <f t="shared" si="5"/>
        <v>647034</v>
      </c>
      <c r="AL16" s="602">
        <f t="shared" si="6"/>
        <v>0</v>
      </c>
      <c r="AM16" s="610">
        <f t="shared" si="6"/>
        <v>1978</v>
      </c>
      <c r="AN16" s="611">
        <f t="shared" si="7"/>
        <v>1978</v>
      </c>
      <c r="AO16" s="612">
        <f t="shared" si="8"/>
        <v>1</v>
      </c>
    </row>
    <row r="17" spans="1:41" x14ac:dyDescent="0.2">
      <c r="A17" s="502">
        <v>151</v>
      </c>
      <c r="B17" s="503">
        <v>0.375</v>
      </c>
      <c r="C17" s="504">
        <v>2013</v>
      </c>
      <c r="D17" s="504">
        <v>3</v>
      </c>
      <c r="E17" s="504">
        <v>15</v>
      </c>
      <c r="F17" s="505">
        <v>649012</v>
      </c>
      <c r="G17" s="504">
        <v>16490125</v>
      </c>
      <c r="H17" s="505">
        <v>428464</v>
      </c>
      <c r="I17" s="504">
        <v>4284643</v>
      </c>
      <c r="J17" s="504">
        <v>1</v>
      </c>
      <c r="K17" s="504">
        <v>12</v>
      </c>
      <c r="L17" s="506">
        <v>99.083100000000002</v>
      </c>
      <c r="M17" s="505">
        <v>15.72</v>
      </c>
      <c r="N17" s="507">
        <v>114.31</v>
      </c>
      <c r="O17" s="508">
        <v>1911</v>
      </c>
      <c r="P17" s="493">
        <f t="shared" si="0"/>
        <v>1911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1911</v>
      </c>
      <c r="W17" s="515">
        <f t="shared" si="10"/>
        <v>67486.334369999997</v>
      </c>
      <c r="Y17" s="513">
        <f t="shared" si="11"/>
        <v>16.726760192610541</v>
      </c>
      <c r="Z17" s="510">
        <f t="shared" si="12"/>
        <v>70.031599574421818</v>
      </c>
      <c r="AA17" s="511">
        <f t="shared" si="13"/>
        <v>66.376960839629234</v>
      </c>
      <c r="AE17" s="598" t="str">
        <f t="shared" si="3"/>
        <v>649012</v>
      </c>
      <c r="AF17" s="502"/>
      <c r="AG17" s="606"/>
      <c r="AH17" s="607"/>
      <c r="AI17" s="608">
        <f t="shared" si="4"/>
        <v>649012</v>
      </c>
      <c r="AJ17" s="609">
        <f t="shared" si="5"/>
        <v>649012</v>
      </c>
      <c r="AL17" s="602">
        <f t="shared" si="6"/>
        <v>650935</v>
      </c>
      <c r="AM17" s="610">
        <f t="shared" si="6"/>
        <v>1911</v>
      </c>
      <c r="AN17" s="611">
        <f t="shared" si="7"/>
        <v>-649024</v>
      </c>
      <c r="AO17" s="612">
        <f t="shared" si="8"/>
        <v>-339.6253270538985</v>
      </c>
    </row>
    <row r="18" spans="1:41" x14ac:dyDescent="0.2">
      <c r="A18" s="502">
        <v>151</v>
      </c>
      <c r="B18" s="503">
        <v>0.375</v>
      </c>
      <c r="C18" s="504">
        <v>2013</v>
      </c>
      <c r="D18" s="504">
        <v>3</v>
      </c>
      <c r="E18" s="504">
        <v>16</v>
      </c>
      <c r="F18" s="505">
        <v>650923</v>
      </c>
      <c r="G18" s="504">
        <v>16509237</v>
      </c>
      <c r="H18" s="505">
        <v>428731</v>
      </c>
      <c r="I18" s="504">
        <v>4287317</v>
      </c>
      <c r="J18" s="504">
        <v>1</v>
      </c>
      <c r="K18" s="504">
        <v>12</v>
      </c>
      <c r="L18" s="506">
        <v>99.2864</v>
      </c>
      <c r="M18" s="505">
        <v>15.17</v>
      </c>
      <c r="N18" s="507">
        <v>112.78</v>
      </c>
      <c r="O18" s="508">
        <v>872</v>
      </c>
      <c r="P18" s="493">
        <f t="shared" si="0"/>
        <v>872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872</v>
      </c>
      <c r="W18" s="515">
        <f t="shared" si="10"/>
        <v>30794.392240000001</v>
      </c>
      <c r="Y18" s="513">
        <f t="shared" si="11"/>
        <v>7.632514331740655</v>
      </c>
      <c r="Z18" s="510">
        <f t="shared" si="12"/>
        <v>31.955811004131775</v>
      </c>
      <c r="AA18" s="511">
        <f t="shared" si="13"/>
        <v>30.288178886528883</v>
      </c>
      <c r="AE18" s="598" t="str">
        <f t="shared" si="3"/>
        <v>650923</v>
      </c>
      <c r="AF18" s="502">
        <v>151</v>
      </c>
      <c r="AG18" s="606">
        <v>16</v>
      </c>
      <c r="AH18" s="607">
        <v>650935</v>
      </c>
      <c r="AI18" s="608">
        <f t="shared" si="4"/>
        <v>650923</v>
      </c>
      <c r="AJ18" s="609">
        <f t="shared" si="5"/>
        <v>-12</v>
      </c>
      <c r="AL18" s="602">
        <f t="shared" si="6"/>
        <v>861</v>
      </c>
      <c r="AM18" s="610">
        <f t="shared" si="6"/>
        <v>872</v>
      </c>
      <c r="AN18" s="611">
        <f t="shared" si="7"/>
        <v>11</v>
      </c>
      <c r="AO18" s="612">
        <f t="shared" si="8"/>
        <v>1.261467889908257E-2</v>
      </c>
    </row>
    <row r="19" spans="1:41" x14ac:dyDescent="0.2">
      <c r="A19" s="502">
        <v>151</v>
      </c>
      <c r="B19" s="503">
        <v>0.375</v>
      </c>
      <c r="C19" s="504">
        <v>2013</v>
      </c>
      <c r="D19" s="504">
        <v>3</v>
      </c>
      <c r="E19" s="504">
        <v>17</v>
      </c>
      <c r="F19" s="505">
        <v>651795</v>
      </c>
      <c r="G19" s="504">
        <v>16517953</v>
      </c>
      <c r="H19" s="505">
        <v>428851</v>
      </c>
      <c r="I19" s="504">
        <v>4288515</v>
      </c>
      <c r="J19" s="504">
        <v>1</v>
      </c>
      <c r="K19" s="504">
        <v>12</v>
      </c>
      <c r="L19" s="506">
        <v>100.88679999999999</v>
      </c>
      <c r="M19" s="505">
        <v>13.79</v>
      </c>
      <c r="N19" s="507">
        <v>118.05</v>
      </c>
      <c r="O19" s="508">
        <v>3</v>
      </c>
      <c r="P19" s="493">
        <f t="shared" si="0"/>
        <v>3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3</v>
      </c>
      <c r="W19" s="515">
        <f t="shared" si="10"/>
        <v>105.94400999999999</v>
      </c>
      <c r="Y19" s="513">
        <f t="shared" si="11"/>
        <v>2.62586502238784E-2</v>
      </c>
      <c r="Z19" s="510">
        <f t="shared" si="12"/>
        <v>0.1099397167573341</v>
      </c>
      <c r="AA19" s="511">
        <f t="shared" si="13"/>
        <v>0.1042024502976911</v>
      </c>
      <c r="AE19" s="598" t="str">
        <f t="shared" si="3"/>
        <v>651795</v>
      </c>
      <c r="AF19" s="502">
        <v>151</v>
      </c>
      <c r="AG19" s="606">
        <v>17</v>
      </c>
      <c r="AH19" s="607">
        <v>651796</v>
      </c>
      <c r="AI19" s="608">
        <f t="shared" si="4"/>
        <v>651795</v>
      </c>
      <c r="AJ19" s="609">
        <f t="shared" si="5"/>
        <v>-1</v>
      </c>
      <c r="AL19" s="602">
        <f t="shared" si="6"/>
        <v>2</v>
      </c>
      <c r="AM19" s="610">
        <f t="shared" si="6"/>
        <v>3</v>
      </c>
      <c r="AN19" s="611">
        <f t="shared" si="7"/>
        <v>1</v>
      </c>
      <c r="AO19" s="612">
        <f t="shared" si="8"/>
        <v>0.33333333333333331</v>
      </c>
    </row>
    <row r="20" spans="1:41" x14ac:dyDescent="0.2">
      <c r="A20" s="502">
        <v>151</v>
      </c>
      <c r="B20" s="503">
        <v>0.375</v>
      </c>
      <c r="C20" s="504">
        <v>2013</v>
      </c>
      <c r="D20" s="504">
        <v>3</v>
      </c>
      <c r="E20" s="504">
        <v>18</v>
      </c>
      <c r="F20" s="505">
        <v>651798</v>
      </c>
      <c r="G20" s="504">
        <v>16517982</v>
      </c>
      <c r="H20" s="505">
        <v>428851</v>
      </c>
      <c r="I20" s="504">
        <v>4288519</v>
      </c>
      <c r="J20" s="504">
        <v>1</v>
      </c>
      <c r="K20" s="504">
        <v>12</v>
      </c>
      <c r="L20" s="506">
        <v>100.8022</v>
      </c>
      <c r="M20" s="505">
        <v>18.420000000000002</v>
      </c>
      <c r="N20" s="507">
        <v>0.74</v>
      </c>
      <c r="O20" s="508">
        <v>700</v>
      </c>
      <c r="P20" s="493">
        <f t="shared" si="0"/>
        <v>700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700</v>
      </c>
      <c r="W20" s="515">
        <f t="shared" si="10"/>
        <v>24720.269</v>
      </c>
      <c r="Y20" s="513">
        <f t="shared" si="11"/>
        <v>6.1270183855716267</v>
      </c>
      <c r="Z20" s="510">
        <f t="shared" si="12"/>
        <v>25.65260057671129</v>
      </c>
      <c r="AA20" s="511">
        <f t="shared" si="13"/>
        <v>24.31390506946126</v>
      </c>
      <c r="AE20" s="598" t="str">
        <f t="shared" si="3"/>
        <v>651798</v>
      </c>
      <c r="AF20" s="502">
        <v>151</v>
      </c>
      <c r="AG20" s="606">
        <v>18</v>
      </c>
      <c r="AH20" s="607">
        <v>651798</v>
      </c>
      <c r="AI20" s="608">
        <f t="shared" si="4"/>
        <v>651798</v>
      </c>
      <c r="AJ20" s="609">
        <f t="shared" si="5"/>
        <v>0</v>
      </c>
      <c r="AL20" s="602">
        <f t="shared" si="6"/>
        <v>710</v>
      </c>
      <c r="AM20" s="610">
        <f t="shared" si="6"/>
        <v>700</v>
      </c>
      <c r="AN20" s="611">
        <f t="shared" si="7"/>
        <v>-10</v>
      </c>
      <c r="AO20" s="612">
        <f t="shared" si="8"/>
        <v>-1.4285714285714285E-2</v>
      </c>
    </row>
    <row r="21" spans="1:41" x14ac:dyDescent="0.2">
      <c r="A21" s="502">
        <v>151</v>
      </c>
      <c r="B21" s="503">
        <v>0.375</v>
      </c>
      <c r="C21" s="504">
        <v>2013</v>
      </c>
      <c r="D21" s="504">
        <v>3</v>
      </c>
      <c r="E21" s="504">
        <v>19</v>
      </c>
      <c r="F21" s="505">
        <v>652498</v>
      </c>
      <c r="G21" s="504">
        <v>16524984</v>
      </c>
      <c r="H21" s="505">
        <v>428948</v>
      </c>
      <c r="I21" s="504">
        <v>4289489</v>
      </c>
      <c r="J21" s="504">
        <v>1</v>
      </c>
      <c r="K21" s="504">
        <v>12</v>
      </c>
      <c r="L21" s="506">
        <v>100.0731</v>
      </c>
      <c r="M21" s="505">
        <v>20.93</v>
      </c>
      <c r="N21" s="507">
        <v>78.75</v>
      </c>
      <c r="O21" s="508">
        <v>1791</v>
      </c>
      <c r="P21" s="493">
        <f t="shared" si="0"/>
        <v>1791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1791</v>
      </c>
      <c r="W21" s="515">
        <f t="shared" si="10"/>
        <v>63248.573969999998</v>
      </c>
      <c r="Y21" s="513">
        <f t="shared" si="11"/>
        <v>15.676414183655405</v>
      </c>
      <c r="Z21" s="510">
        <f t="shared" si="12"/>
        <v>65.634010904128459</v>
      </c>
      <c r="AA21" s="511">
        <f t="shared" si="13"/>
        <v>62.208862827721589</v>
      </c>
      <c r="AE21" s="598" t="str">
        <f t="shared" si="3"/>
        <v>652498</v>
      </c>
      <c r="AF21" s="502">
        <v>151</v>
      </c>
      <c r="AG21" s="606">
        <v>19</v>
      </c>
      <c r="AH21" s="607">
        <v>652508</v>
      </c>
      <c r="AI21" s="608">
        <f t="shared" si="4"/>
        <v>652498</v>
      </c>
      <c r="AJ21" s="609">
        <f t="shared" si="5"/>
        <v>-10</v>
      </c>
      <c r="AL21" s="602">
        <f t="shared" si="6"/>
        <v>1791</v>
      </c>
      <c r="AM21" s="610">
        <f t="shared" si="6"/>
        <v>1791</v>
      </c>
      <c r="AN21" s="611">
        <f t="shared" si="7"/>
        <v>0</v>
      </c>
      <c r="AO21" s="612">
        <f t="shared" si="8"/>
        <v>0</v>
      </c>
    </row>
    <row r="22" spans="1:41" x14ac:dyDescent="0.2">
      <c r="A22" s="502">
        <v>151</v>
      </c>
      <c r="B22" s="503">
        <v>0.375</v>
      </c>
      <c r="C22" s="504">
        <v>2013</v>
      </c>
      <c r="D22" s="504">
        <v>3</v>
      </c>
      <c r="E22" s="504">
        <v>20</v>
      </c>
      <c r="F22" s="505">
        <v>654289</v>
      </c>
      <c r="G22" s="504">
        <v>16542897</v>
      </c>
      <c r="H22" s="505">
        <v>429205</v>
      </c>
      <c r="I22" s="504">
        <v>4292052</v>
      </c>
      <c r="J22" s="504">
        <v>1</v>
      </c>
      <c r="K22" s="504">
        <v>12</v>
      </c>
      <c r="L22" s="506">
        <v>98.963300000000004</v>
      </c>
      <c r="M22" s="505">
        <v>20.79</v>
      </c>
      <c r="N22" s="507">
        <v>117.28</v>
      </c>
      <c r="O22" s="508">
        <v>1927</v>
      </c>
      <c r="P22" s="493">
        <f t="shared" si="0"/>
        <v>1927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1927</v>
      </c>
      <c r="W22" s="515">
        <f t="shared" si="10"/>
        <v>68051.369089999993</v>
      </c>
      <c r="Y22" s="513">
        <f t="shared" si="11"/>
        <v>16.866806327137894</v>
      </c>
      <c r="Z22" s="510">
        <f t="shared" si="12"/>
        <v>70.61794473046092</v>
      </c>
      <c r="AA22" s="511">
        <f t="shared" si="13"/>
        <v>66.932707241216917</v>
      </c>
      <c r="AE22" s="598" t="str">
        <f t="shared" si="3"/>
        <v>654289</v>
      </c>
      <c r="AF22" s="502">
        <v>151</v>
      </c>
      <c r="AG22" s="606">
        <v>20</v>
      </c>
      <c r="AH22" s="607">
        <v>654299</v>
      </c>
      <c r="AI22" s="608">
        <f t="shared" si="4"/>
        <v>654289</v>
      </c>
      <c r="AJ22" s="609">
        <f t="shared" si="5"/>
        <v>-10</v>
      </c>
      <c r="AL22" s="602">
        <f t="shared" si="6"/>
        <v>1928</v>
      </c>
      <c r="AM22" s="610">
        <f t="shared" si="6"/>
        <v>1927</v>
      </c>
      <c r="AN22" s="611">
        <f t="shared" si="7"/>
        <v>-1</v>
      </c>
      <c r="AO22" s="612">
        <f t="shared" si="8"/>
        <v>-5.189413596263622E-4</v>
      </c>
    </row>
    <row r="23" spans="1:41" x14ac:dyDescent="0.2">
      <c r="A23" s="502">
        <v>151</v>
      </c>
      <c r="B23" s="503">
        <v>0.375</v>
      </c>
      <c r="C23" s="504">
        <v>2013</v>
      </c>
      <c r="D23" s="504">
        <v>3</v>
      </c>
      <c r="E23" s="504">
        <v>21</v>
      </c>
      <c r="F23" s="505">
        <v>656216</v>
      </c>
      <c r="G23" s="504">
        <v>16562168</v>
      </c>
      <c r="H23" s="505">
        <v>429480</v>
      </c>
      <c r="I23" s="504">
        <v>4294807</v>
      </c>
      <c r="J23" s="504">
        <v>1</v>
      </c>
      <c r="K23" s="504">
        <v>12</v>
      </c>
      <c r="L23" s="506">
        <v>98.7453</v>
      </c>
      <c r="M23" s="505">
        <v>19.87</v>
      </c>
      <c r="N23" s="507">
        <v>113.37</v>
      </c>
      <c r="O23" s="508">
        <v>1757</v>
      </c>
      <c r="P23" s="493">
        <f t="shared" si="0"/>
        <v>1757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1757</v>
      </c>
      <c r="W23" s="515">
        <f t="shared" si="10"/>
        <v>62047.875189999999</v>
      </c>
      <c r="Y23" s="513">
        <f t="shared" si="11"/>
        <v>15.378816147784784</v>
      </c>
      <c r="Z23" s="510">
        <f t="shared" si="12"/>
        <v>64.38802744754534</v>
      </c>
      <c r="AA23" s="511">
        <f t="shared" si="13"/>
        <v>61.027901724347757</v>
      </c>
      <c r="AE23" s="598" t="str">
        <f t="shared" si="3"/>
        <v>656216</v>
      </c>
      <c r="AF23" s="502">
        <v>151</v>
      </c>
      <c r="AG23" s="606">
        <v>21</v>
      </c>
      <c r="AH23" s="607">
        <v>656227</v>
      </c>
      <c r="AI23" s="608">
        <f t="shared" si="4"/>
        <v>656216</v>
      </c>
      <c r="AJ23" s="609">
        <f t="shared" si="5"/>
        <v>-11</v>
      </c>
      <c r="AL23" s="602">
        <f t="shared" si="6"/>
        <v>1759</v>
      </c>
      <c r="AM23" s="610">
        <f t="shared" si="6"/>
        <v>1757</v>
      </c>
      <c r="AN23" s="611">
        <f t="shared" si="7"/>
        <v>-2</v>
      </c>
      <c r="AO23" s="612">
        <f t="shared" si="8"/>
        <v>-1.1383039271485487E-3</v>
      </c>
    </row>
    <row r="24" spans="1:41" x14ac:dyDescent="0.2">
      <c r="A24" s="502">
        <v>151</v>
      </c>
      <c r="B24" s="503">
        <v>0.375</v>
      </c>
      <c r="C24" s="504">
        <v>2013</v>
      </c>
      <c r="D24" s="504">
        <v>3</v>
      </c>
      <c r="E24" s="504">
        <v>22</v>
      </c>
      <c r="F24" s="505">
        <v>657973</v>
      </c>
      <c r="G24" s="504">
        <v>16579736</v>
      </c>
      <c r="H24" s="505">
        <v>429733</v>
      </c>
      <c r="I24" s="504">
        <v>4297333</v>
      </c>
      <c r="J24" s="504">
        <v>1</v>
      </c>
      <c r="K24" s="504">
        <v>12</v>
      </c>
      <c r="L24" s="506">
        <v>98.657799999999995</v>
      </c>
      <c r="M24" s="505">
        <v>21.45</v>
      </c>
      <c r="N24" s="507">
        <v>106.44</v>
      </c>
      <c r="O24" s="508">
        <v>1871</v>
      </c>
      <c r="P24" s="493">
        <f t="shared" si="0"/>
        <v>1871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1871</v>
      </c>
      <c r="W24" s="515">
        <f t="shared" si="10"/>
        <v>66073.747569999992</v>
      </c>
      <c r="Y24" s="513">
        <f t="shared" si="11"/>
        <v>16.376644856292163</v>
      </c>
      <c r="Z24" s="510">
        <f t="shared" si="12"/>
        <v>68.565736684324023</v>
      </c>
      <c r="AA24" s="511">
        <f t="shared" si="13"/>
        <v>64.987594835660005</v>
      </c>
      <c r="AE24" s="598" t="str">
        <f t="shared" si="3"/>
        <v>657973</v>
      </c>
      <c r="AF24" s="502">
        <v>151</v>
      </c>
      <c r="AG24" s="606">
        <v>22</v>
      </c>
      <c r="AH24" s="607">
        <v>657986</v>
      </c>
      <c r="AI24" s="608">
        <f t="shared" si="4"/>
        <v>657973</v>
      </c>
      <c r="AJ24" s="609">
        <f t="shared" si="5"/>
        <v>-13</v>
      </c>
      <c r="AL24" s="602">
        <f t="shared" si="6"/>
        <v>1872</v>
      </c>
      <c r="AM24" s="610">
        <f t="shared" si="6"/>
        <v>1871</v>
      </c>
      <c r="AN24" s="611">
        <f t="shared" si="7"/>
        <v>-1</v>
      </c>
      <c r="AO24" s="612">
        <f t="shared" si="8"/>
        <v>-5.3447354355959376E-4</v>
      </c>
    </row>
    <row r="25" spans="1:41" x14ac:dyDescent="0.2">
      <c r="A25" s="502">
        <v>151</v>
      </c>
      <c r="B25" s="503">
        <v>0.375</v>
      </c>
      <c r="C25" s="504">
        <v>2013</v>
      </c>
      <c r="D25" s="504">
        <v>3</v>
      </c>
      <c r="E25" s="504">
        <v>23</v>
      </c>
      <c r="F25" s="505">
        <v>659844</v>
      </c>
      <c r="G25" s="504">
        <v>16598444</v>
      </c>
      <c r="H25" s="505">
        <v>430001</v>
      </c>
      <c r="I25" s="504">
        <v>4300018</v>
      </c>
      <c r="J25" s="504">
        <v>1</v>
      </c>
      <c r="K25" s="504">
        <v>12</v>
      </c>
      <c r="L25" s="506">
        <v>98.974699999999999</v>
      </c>
      <c r="M25" s="505">
        <v>21.79</v>
      </c>
      <c r="N25" s="507">
        <v>114.82</v>
      </c>
      <c r="O25" s="508">
        <v>520</v>
      </c>
      <c r="P25" s="493">
        <f t="shared" si="0"/>
        <v>520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520</v>
      </c>
      <c r="W25" s="515">
        <f t="shared" si="10"/>
        <v>18363.628400000001</v>
      </c>
      <c r="Y25" s="513">
        <f t="shared" si="11"/>
        <v>4.551499372138923</v>
      </c>
      <c r="Z25" s="510">
        <f t="shared" si="12"/>
        <v>19.056217571271244</v>
      </c>
      <c r="AA25" s="511">
        <f t="shared" si="13"/>
        <v>18.061758051599792</v>
      </c>
      <c r="AE25" s="598" t="str">
        <f t="shared" si="3"/>
        <v>659844</v>
      </c>
      <c r="AF25" s="502">
        <v>151</v>
      </c>
      <c r="AG25" s="606">
        <v>23</v>
      </c>
      <c r="AH25" s="607">
        <v>659858</v>
      </c>
      <c r="AI25" s="608">
        <f t="shared" si="4"/>
        <v>659844</v>
      </c>
      <c r="AJ25" s="609">
        <f t="shared" si="5"/>
        <v>-14</v>
      </c>
      <c r="AL25" s="602">
        <f t="shared" si="6"/>
        <v>506</v>
      </c>
      <c r="AM25" s="610">
        <f t="shared" si="6"/>
        <v>520</v>
      </c>
      <c r="AN25" s="611">
        <f t="shared" si="7"/>
        <v>14</v>
      </c>
      <c r="AO25" s="612">
        <f t="shared" si="8"/>
        <v>2.6923076923076925E-2</v>
      </c>
    </row>
    <row r="26" spans="1:41" x14ac:dyDescent="0.2">
      <c r="A26" s="502">
        <v>151</v>
      </c>
      <c r="B26" s="503">
        <v>0.375</v>
      </c>
      <c r="C26" s="504">
        <v>2013</v>
      </c>
      <c r="D26" s="504">
        <v>3</v>
      </c>
      <c r="E26" s="504">
        <v>24</v>
      </c>
      <c r="F26" s="505">
        <v>660364</v>
      </c>
      <c r="G26" s="504">
        <v>16603647</v>
      </c>
      <c r="H26" s="505">
        <v>430078</v>
      </c>
      <c r="I26" s="504">
        <v>4300783</v>
      </c>
      <c r="J26" s="504">
        <v>1</v>
      </c>
      <c r="K26" s="504">
        <v>12</v>
      </c>
      <c r="L26" s="506">
        <v>99.851200000000006</v>
      </c>
      <c r="M26" s="505">
        <v>20.72</v>
      </c>
      <c r="N26" s="507">
        <v>97.37</v>
      </c>
      <c r="O26" s="508">
        <v>195</v>
      </c>
      <c r="P26" s="493">
        <f t="shared" si="0"/>
        <v>195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195</v>
      </c>
      <c r="W26" s="515">
        <f t="shared" si="10"/>
        <v>6886.3606499999996</v>
      </c>
      <c r="Y26" s="513">
        <f t="shared" si="11"/>
        <v>1.7068122645520962</v>
      </c>
      <c r="Z26" s="510">
        <f t="shared" si="12"/>
        <v>7.146081589226716</v>
      </c>
      <c r="AA26" s="511">
        <f t="shared" si="13"/>
        <v>6.7731592693499216</v>
      </c>
      <c r="AE26" s="598" t="str">
        <f t="shared" si="3"/>
        <v>660364</v>
      </c>
      <c r="AF26" s="502">
        <v>151</v>
      </c>
      <c r="AG26" s="606">
        <v>24</v>
      </c>
      <c r="AH26" s="607">
        <v>660364</v>
      </c>
      <c r="AI26" s="608">
        <f t="shared" si="4"/>
        <v>660364</v>
      </c>
      <c r="AJ26" s="609">
        <f t="shared" si="5"/>
        <v>0</v>
      </c>
      <c r="AL26" s="602">
        <f t="shared" si="6"/>
        <v>208</v>
      </c>
      <c r="AM26" s="610">
        <f t="shared" si="6"/>
        <v>195</v>
      </c>
      <c r="AN26" s="611">
        <f t="shared" si="7"/>
        <v>-13</v>
      </c>
      <c r="AO26" s="612">
        <f t="shared" si="8"/>
        <v>-6.6666666666666666E-2</v>
      </c>
    </row>
    <row r="27" spans="1:41" x14ac:dyDescent="0.2">
      <c r="A27" s="502">
        <v>151</v>
      </c>
      <c r="B27" s="503">
        <v>0.375</v>
      </c>
      <c r="C27" s="504">
        <v>2013</v>
      </c>
      <c r="D27" s="504">
        <v>3</v>
      </c>
      <c r="E27" s="504">
        <v>25</v>
      </c>
      <c r="F27" s="505">
        <v>660559</v>
      </c>
      <c r="G27" s="504">
        <v>16605594</v>
      </c>
      <c r="H27" s="505">
        <v>430105</v>
      </c>
      <c r="I27" s="504">
        <v>4301055</v>
      </c>
      <c r="J27" s="504">
        <v>1</v>
      </c>
      <c r="K27" s="504">
        <v>12</v>
      </c>
      <c r="L27" s="506">
        <v>99.405600000000007</v>
      </c>
      <c r="M27" s="505">
        <v>20.100000000000001</v>
      </c>
      <c r="N27" s="507">
        <v>73.010000000000005</v>
      </c>
      <c r="O27" s="508">
        <v>1830</v>
      </c>
      <c r="P27" s="493">
        <f t="shared" si="0"/>
        <v>1830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1830</v>
      </c>
      <c r="W27" s="515">
        <f t="shared" si="10"/>
        <v>64625.846100000002</v>
      </c>
      <c r="Y27" s="513">
        <f t="shared" si="11"/>
        <v>16.017776636565824</v>
      </c>
      <c r="Z27" s="510">
        <f t="shared" si="12"/>
        <v>67.063227221973804</v>
      </c>
      <c r="AA27" s="511">
        <f t="shared" si="13"/>
        <v>63.563494681591578</v>
      </c>
      <c r="AE27" s="598" t="str">
        <f t="shared" si="3"/>
        <v>660559</v>
      </c>
      <c r="AF27" s="502">
        <v>151</v>
      </c>
      <c r="AG27" s="606">
        <v>25</v>
      </c>
      <c r="AH27" s="607">
        <v>660572</v>
      </c>
      <c r="AI27" s="608">
        <f t="shared" si="4"/>
        <v>660559</v>
      </c>
      <c r="AJ27" s="609">
        <f t="shared" si="5"/>
        <v>-13</v>
      </c>
      <c r="AL27" s="602">
        <f t="shared" si="6"/>
        <v>1832</v>
      </c>
      <c r="AM27" s="610">
        <f t="shared" si="6"/>
        <v>1830</v>
      </c>
      <c r="AN27" s="611">
        <f t="shared" si="7"/>
        <v>-2</v>
      </c>
      <c r="AO27" s="612">
        <f t="shared" si="8"/>
        <v>-1.092896174863388E-3</v>
      </c>
    </row>
    <row r="28" spans="1:41" x14ac:dyDescent="0.2">
      <c r="A28" s="502">
        <v>151</v>
      </c>
      <c r="B28" s="503">
        <v>0.375</v>
      </c>
      <c r="C28" s="504">
        <v>2013</v>
      </c>
      <c r="D28" s="504">
        <v>3</v>
      </c>
      <c r="E28" s="504">
        <v>26</v>
      </c>
      <c r="F28" s="505">
        <v>662389</v>
      </c>
      <c r="G28" s="504">
        <v>16623895</v>
      </c>
      <c r="H28" s="505">
        <v>430367</v>
      </c>
      <c r="I28" s="504">
        <v>4303675</v>
      </c>
      <c r="J28" s="504">
        <v>1</v>
      </c>
      <c r="K28" s="504">
        <v>12</v>
      </c>
      <c r="L28" s="506">
        <v>98.738500000000002</v>
      </c>
      <c r="M28" s="505">
        <v>20.079999999999998</v>
      </c>
      <c r="N28" s="507">
        <v>121.2</v>
      </c>
      <c r="O28" s="508">
        <v>2152</v>
      </c>
      <c r="P28" s="493">
        <f t="shared" si="0"/>
        <v>2152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2152</v>
      </c>
      <c r="W28" s="515">
        <f t="shared" si="10"/>
        <v>75997.169840000002</v>
      </c>
      <c r="Y28" s="513">
        <f t="shared" si="11"/>
        <v>18.836205093928772</v>
      </c>
      <c r="Z28" s="510">
        <f t="shared" si="12"/>
        <v>78.863423487260988</v>
      </c>
      <c r="AA28" s="511">
        <f t="shared" si="13"/>
        <v>74.74789101354375</v>
      </c>
      <c r="AE28" s="598" t="str">
        <f t="shared" si="3"/>
        <v>662389</v>
      </c>
      <c r="AF28" s="502">
        <v>151</v>
      </c>
      <c r="AG28" s="606">
        <v>26</v>
      </c>
      <c r="AH28" s="607">
        <v>662404</v>
      </c>
      <c r="AI28" s="608">
        <f t="shared" si="4"/>
        <v>662389</v>
      </c>
      <c r="AJ28" s="609">
        <f t="shared" si="5"/>
        <v>-15</v>
      </c>
      <c r="AL28" s="602">
        <f t="shared" si="6"/>
        <v>2155</v>
      </c>
      <c r="AM28" s="610">
        <f t="shared" si="6"/>
        <v>2152</v>
      </c>
      <c r="AN28" s="611">
        <f t="shared" si="7"/>
        <v>-3</v>
      </c>
      <c r="AO28" s="612">
        <f t="shared" si="8"/>
        <v>-1.3940520446096654E-3</v>
      </c>
    </row>
    <row r="29" spans="1:41" x14ac:dyDescent="0.2">
      <c r="A29" s="502">
        <v>151</v>
      </c>
      <c r="B29" s="503">
        <v>0.375</v>
      </c>
      <c r="C29" s="504">
        <v>2013</v>
      </c>
      <c r="D29" s="504">
        <v>3</v>
      </c>
      <c r="E29" s="504">
        <v>27</v>
      </c>
      <c r="F29" s="505">
        <v>664541</v>
      </c>
      <c r="G29" s="504">
        <v>16645418</v>
      </c>
      <c r="H29" s="505">
        <v>430672</v>
      </c>
      <c r="I29" s="504">
        <v>4306720</v>
      </c>
      <c r="J29" s="504">
        <v>1</v>
      </c>
      <c r="K29" s="504">
        <v>12</v>
      </c>
      <c r="L29" s="506">
        <v>99.035200000000003</v>
      </c>
      <c r="M29" s="505">
        <v>16.93</v>
      </c>
      <c r="N29" s="507">
        <v>152.66</v>
      </c>
      <c r="O29" s="508">
        <v>2050</v>
      </c>
      <c r="P29" s="493">
        <f t="shared" si="0"/>
        <v>2050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2050</v>
      </c>
      <c r="W29" s="515">
        <f t="shared" si="10"/>
        <v>72395.073499999999</v>
      </c>
      <c r="Y29" s="513">
        <f t="shared" si="11"/>
        <v>17.943410986316909</v>
      </c>
      <c r="Z29" s="510">
        <f t="shared" si="12"/>
        <v>75.125473117511632</v>
      </c>
      <c r="AA29" s="511">
        <f t="shared" si="13"/>
        <v>71.205007703422268</v>
      </c>
      <c r="AE29" s="598" t="str">
        <f t="shared" si="3"/>
        <v>664541</v>
      </c>
      <c r="AF29" s="502">
        <v>151</v>
      </c>
      <c r="AG29" s="606">
        <v>27</v>
      </c>
      <c r="AH29" s="607">
        <v>664559</v>
      </c>
      <c r="AI29" s="608">
        <f t="shared" si="4"/>
        <v>664541</v>
      </c>
      <c r="AJ29" s="609">
        <f t="shared" si="5"/>
        <v>-18</v>
      </c>
      <c r="AL29" s="602">
        <f t="shared" si="6"/>
        <v>2045</v>
      </c>
      <c r="AM29" s="610">
        <f t="shared" si="6"/>
        <v>2050</v>
      </c>
      <c r="AN29" s="611">
        <f t="shared" si="7"/>
        <v>5</v>
      </c>
      <c r="AO29" s="612">
        <f t="shared" si="8"/>
        <v>2.4390243902439024E-3</v>
      </c>
    </row>
    <row r="30" spans="1:41" x14ac:dyDescent="0.2">
      <c r="A30" s="502">
        <v>151</v>
      </c>
      <c r="B30" s="503">
        <v>0.375</v>
      </c>
      <c r="C30" s="504">
        <v>2013</v>
      </c>
      <c r="D30" s="504">
        <v>3</v>
      </c>
      <c r="E30" s="504">
        <v>28</v>
      </c>
      <c r="F30" s="505">
        <v>666591</v>
      </c>
      <c r="G30" s="504">
        <v>16665913</v>
      </c>
      <c r="H30" s="505">
        <v>430963</v>
      </c>
      <c r="I30" s="504">
        <v>4309630</v>
      </c>
      <c r="J30" s="504">
        <v>1</v>
      </c>
      <c r="K30" s="504">
        <v>12</v>
      </c>
      <c r="L30" s="506">
        <v>99.757800000000003</v>
      </c>
      <c r="M30" s="505">
        <v>20.5</v>
      </c>
      <c r="N30" s="507">
        <v>137.63</v>
      </c>
      <c r="O30" s="508">
        <v>1269</v>
      </c>
      <c r="P30" s="493">
        <f t="shared" si="0"/>
        <v>1269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1269</v>
      </c>
      <c r="W30" s="515">
        <f t="shared" si="10"/>
        <v>44814.316229999997</v>
      </c>
      <c r="Y30" s="513">
        <f t="shared" si="11"/>
        <v>11.107409044700564</v>
      </c>
      <c r="Z30" s="510">
        <f t="shared" si="12"/>
        <v>46.504500188352324</v>
      </c>
      <c r="AA30" s="511">
        <f t="shared" si="13"/>
        <v>44.077636475923335</v>
      </c>
      <c r="AE30" s="598" t="str">
        <f t="shared" si="3"/>
        <v>666591</v>
      </c>
      <c r="AF30" s="502">
        <v>151</v>
      </c>
      <c r="AG30" s="606">
        <v>28</v>
      </c>
      <c r="AH30" s="607">
        <v>666604</v>
      </c>
      <c r="AI30" s="608">
        <f t="shared" si="4"/>
        <v>666591</v>
      </c>
      <c r="AJ30" s="609">
        <f t="shared" si="5"/>
        <v>-13</v>
      </c>
      <c r="AL30" s="602">
        <f t="shared" si="6"/>
        <v>1256</v>
      </c>
      <c r="AM30" s="610">
        <f t="shared" si="6"/>
        <v>1269</v>
      </c>
      <c r="AN30" s="611">
        <f t="shared" si="7"/>
        <v>13</v>
      </c>
      <c r="AO30" s="612">
        <f t="shared" si="8"/>
        <v>1.024428684003152E-2</v>
      </c>
    </row>
    <row r="31" spans="1:41" x14ac:dyDescent="0.2">
      <c r="A31" s="502">
        <v>151</v>
      </c>
      <c r="B31" s="503">
        <v>0.375</v>
      </c>
      <c r="C31" s="504">
        <v>2013</v>
      </c>
      <c r="D31" s="504">
        <v>3</v>
      </c>
      <c r="E31" s="504">
        <v>29</v>
      </c>
      <c r="F31" s="505">
        <v>667860</v>
      </c>
      <c r="G31" s="504">
        <v>16678607</v>
      </c>
      <c r="H31" s="505">
        <v>431140</v>
      </c>
      <c r="I31" s="504">
        <v>4311404</v>
      </c>
      <c r="J31" s="504">
        <v>1</v>
      </c>
      <c r="K31" s="504">
        <v>12</v>
      </c>
      <c r="L31" s="506">
        <v>101.20829999999999</v>
      </c>
      <c r="M31" s="505">
        <v>20.72</v>
      </c>
      <c r="N31" s="507">
        <v>122.67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667860</v>
      </c>
      <c r="AF31" s="502">
        <v>151</v>
      </c>
      <c r="AG31" s="606">
        <v>29</v>
      </c>
      <c r="AH31" s="607">
        <v>667860</v>
      </c>
      <c r="AI31" s="608">
        <f t="shared" si="4"/>
        <v>667860</v>
      </c>
      <c r="AJ31" s="609">
        <f t="shared" si="5"/>
        <v>0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151</v>
      </c>
      <c r="B32" s="503">
        <v>0.375</v>
      </c>
      <c r="C32" s="504">
        <v>2013</v>
      </c>
      <c r="D32" s="504">
        <v>3</v>
      </c>
      <c r="E32" s="504">
        <v>30</v>
      </c>
      <c r="F32" s="505">
        <v>667860</v>
      </c>
      <c r="G32" s="504">
        <v>16678607</v>
      </c>
      <c r="H32" s="505">
        <v>431140</v>
      </c>
      <c r="I32" s="504">
        <v>4311404</v>
      </c>
      <c r="J32" s="504">
        <v>1</v>
      </c>
      <c r="K32" s="504">
        <v>12</v>
      </c>
      <c r="L32" s="506">
        <v>104.3116</v>
      </c>
      <c r="M32" s="505">
        <v>20.98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667860</v>
      </c>
      <c r="AF32" s="502">
        <v>151</v>
      </c>
      <c r="AG32" s="606">
        <v>30</v>
      </c>
      <c r="AH32" s="607">
        <v>667860</v>
      </c>
      <c r="AI32" s="608">
        <f t="shared" si="4"/>
        <v>667860</v>
      </c>
      <c r="AJ32" s="609">
        <f t="shared" si="5"/>
        <v>0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151</v>
      </c>
      <c r="B33" s="503">
        <v>0.375</v>
      </c>
      <c r="C33" s="504">
        <v>2013</v>
      </c>
      <c r="D33" s="504">
        <v>3</v>
      </c>
      <c r="E33" s="504">
        <v>31</v>
      </c>
      <c r="F33" s="505">
        <v>667860</v>
      </c>
      <c r="G33" s="504">
        <v>16678607</v>
      </c>
      <c r="H33" s="505">
        <v>431140</v>
      </c>
      <c r="I33" s="504">
        <v>4311404</v>
      </c>
      <c r="J33" s="504">
        <v>1</v>
      </c>
      <c r="K33" s="504">
        <v>12</v>
      </c>
      <c r="L33" s="506">
        <v>103.81270000000001</v>
      </c>
      <c r="M33" s="505">
        <v>21</v>
      </c>
      <c r="N33" s="507">
        <v>0</v>
      </c>
      <c r="O33" s="508">
        <v>281</v>
      </c>
      <c r="P33" s="493">
        <f t="shared" si="0"/>
        <v>281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281</v>
      </c>
      <c r="W33" s="519">
        <f t="shared" si="10"/>
        <v>9923.4222699999991</v>
      </c>
      <c r="Y33" s="513">
        <f t="shared" si="11"/>
        <v>2.4595602376366106</v>
      </c>
      <c r="Z33" s="510">
        <f t="shared" si="12"/>
        <v>10.29768680293696</v>
      </c>
      <c r="AA33" s="511">
        <f t="shared" si="13"/>
        <v>9.7602961778837329</v>
      </c>
      <c r="AE33" s="598" t="str">
        <f t="shared" si="3"/>
        <v>667860</v>
      </c>
      <c r="AF33" s="502">
        <v>151</v>
      </c>
      <c r="AG33" s="606">
        <v>31</v>
      </c>
      <c r="AH33" s="607">
        <v>667860</v>
      </c>
      <c r="AI33" s="608">
        <f t="shared" si="4"/>
        <v>667860</v>
      </c>
      <c r="AJ33" s="609">
        <f t="shared" si="5"/>
        <v>0</v>
      </c>
      <c r="AL33" s="602">
        <f t="shared" si="6"/>
        <v>302</v>
      </c>
      <c r="AM33" s="613">
        <f t="shared" si="6"/>
        <v>281</v>
      </c>
      <c r="AN33" s="611">
        <f t="shared" si="7"/>
        <v>-21</v>
      </c>
      <c r="AO33" s="612">
        <f t="shared" si="8"/>
        <v>-7.4733096085409248E-2</v>
      </c>
    </row>
    <row r="34" spans="1:41" ht="13.5" thickBot="1" x14ac:dyDescent="0.25">
      <c r="A34" s="148">
        <v>151</v>
      </c>
      <c r="B34" s="520">
        <v>0.375</v>
      </c>
      <c r="C34" s="146">
        <v>2013</v>
      </c>
      <c r="D34" s="146">
        <v>4</v>
      </c>
      <c r="E34" s="146">
        <v>1</v>
      </c>
      <c r="F34" s="521">
        <v>668141</v>
      </c>
      <c r="G34" s="146">
        <v>16681413</v>
      </c>
      <c r="H34" s="521">
        <v>431180</v>
      </c>
      <c r="I34" s="146">
        <v>4311802</v>
      </c>
      <c r="J34" s="146">
        <v>1</v>
      </c>
      <c r="K34" s="146">
        <v>12</v>
      </c>
      <c r="L34" s="522">
        <v>100.73099999999999</v>
      </c>
      <c r="M34" s="521">
        <v>22.82</v>
      </c>
      <c r="N34" s="523">
        <v>89.4</v>
      </c>
      <c r="O34" s="524">
        <v>1943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668141</v>
      </c>
      <c r="AF34" s="148">
        <v>151</v>
      </c>
      <c r="AG34" s="614">
        <v>1</v>
      </c>
      <c r="AH34" s="615">
        <v>668162</v>
      </c>
      <c r="AI34" s="616">
        <f t="shared" si="4"/>
        <v>668141</v>
      </c>
      <c r="AJ34" s="617">
        <f t="shared" si="5"/>
        <v>-21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324.14370000000002</v>
      </c>
      <c r="M36" s="535">
        <f>MAX(M3:M34)</f>
        <v>26.5</v>
      </c>
      <c r="N36" s="533" t="s">
        <v>68</v>
      </c>
      <c r="O36" s="535">
        <f>SUM(O3:O33)</f>
        <v>37977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37977</v>
      </c>
      <c r="W36" s="539">
        <f>SUM(W3:W33)</f>
        <v>1341145.2225899999</v>
      </c>
      <c r="Y36" s="540">
        <f>SUM(Y3:Y33)</f>
        <v>330.81360189335146</v>
      </c>
      <c r="Z36" s="541">
        <f>SUM(Z3:Z33)</f>
        <v>1385.050388407084</v>
      </c>
      <c r="AA36" s="542">
        <f>SUM(AA3:AA33)</f>
        <v>1312.770748503488</v>
      </c>
      <c r="AF36" s="621" t="s">
        <v>208</v>
      </c>
      <c r="AG36" s="534">
        <f>COUNT(AG3:AG34)</f>
        <v>30</v>
      </c>
      <c r="AJ36" s="622">
        <f>SUM(AJ3:AJ33)</f>
        <v>1295822</v>
      </c>
      <c r="AK36" s="623" t="s">
        <v>176</v>
      </c>
      <c r="AL36" s="624"/>
      <c r="AM36" s="624"/>
      <c r="AN36" s="622">
        <f>SUM(AN3:AN33)</f>
        <v>-21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106.80612499999998</v>
      </c>
      <c r="M37" s="543">
        <f>AVERAGE(M3:M34)</f>
        <v>18.828750000000007</v>
      </c>
      <c r="N37" s="533" t="s">
        <v>172</v>
      </c>
      <c r="O37" s="544">
        <f>O36*35.31467</f>
        <v>1341145.2225899999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</v>
      </c>
      <c r="AN37" s="627">
        <f>IFERROR(AN36/SUM(AM3:AM33),"")</f>
        <v>-5.5296626905758752E-4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98.657799999999995</v>
      </c>
      <c r="M38" s="544">
        <f>MIN(M3:M34)</f>
        <v>5.82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117.48673749999999</v>
      </c>
      <c r="M44" s="551">
        <f>M37*(1+$L$43)</f>
        <v>20.711625000000009</v>
      </c>
    </row>
    <row r="45" spans="1:41" x14ac:dyDescent="0.2">
      <c r="K45" s="550" t="s">
        <v>186</v>
      </c>
      <c r="L45" s="551">
        <f>L37*(1-$L$43)</f>
        <v>96.125512499999985</v>
      </c>
      <c r="M45" s="551">
        <f>M37*(1-$L$43)</f>
        <v>16.945875000000008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535" priority="47" stopIfTrue="1" operator="lessThan">
      <formula>$L$45</formula>
    </cfRule>
    <cfRule type="cellIs" dxfId="1534" priority="48" stopIfTrue="1" operator="greaterThan">
      <formula>$L$44</formula>
    </cfRule>
  </conditionalFormatting>
  <conditionalFormatting sqref="M3:M34">
    <cfRule type="cellIs" dxfId="1533" priority="45" stopIfTrue="1" operator="lessThan">
      <formula>$M$45</formula>
    </cfRule>
    <cfRule type="cellIs" dxfId="1532" priority="46" stopIfTrue="1" operator="greaterThan">
      <formula>$M$44</formula>
    </cfRule>
  </conditionalFormatting>
  <conditionalFormatting sqref="O3:O34">
    <cfRule type="cellIs" dxfId="1531" priority="44" stopIfTrue="1" operator="lessThan">
      <formula>0</formula>
    </cfRule>
  </conditionalFormatting>
  <conditionalFormatting sqref="O3:O33">
    <cfRule type="cellIs" dxfId="1530" priority="43" stopIfTrue="1" operator="lessThan">
      <formula>0</formula>
    </cfRule>
  </conditionalFormatting>
  <conditionalFormatting sqref="O3">
    <cfRule type="cellIs" dxfId="1529" priority="42" stopIfTrue="1" operator="notEqual">
      <formula>$P$3</formula>
    </cfRule>
  </conditionalFormatting>
  <conditionalFormatting sqref="O4">
    <cfRule type="cellIs" dxfId="1528" priority="41" stopIfTrue="1" operator="notEqual">
      <formula>P$4</formula>
    </cfRule>
  </conditionalFormatting>
  <conditionalFormatting sqref="O5">
    <cfRule type="cellIs" dxfId="1527" priority="40" stopIfTrue="1" operator="notEqual">
      <formula>$P$5</formula>
    </cfRule>
  </conditionalFormatting>
  <conditionalFormatting sqref="O6">
    <cfRule type="cellIs" dxfId="1526" priority="39" stopIfTrue="1" operator="notEqual">
      <formula>$P$6</formula>
    </cfRule>
  </conditionalFormatting>
  <conditionalFormatting sqref="O7">
    <cfRule type="cellIs" dxfId="1525" priority="38" stopIfTrue="1" operator="notEqual">
      <formula>$P$7</formula>
    </cfRule>
  </conditionalFormatting>
  <conditionalFormatting sqref="O8">
    <cfRule type="cellIs" dxfId="1524" priority="37" stopIfTrue="1" operator="notEqual">
      <formula>$P$8</formula>
    </cfRule>
  </conditionalFormatting>
  <conditionalFormatting sqref="O9">
    <cfRule type="cellIs" dxfId="1523" priority="36" stopIfTrue="1" operator="notEqual">
      <formula>$P$9</formula>
    </cfRule>
  </conditionalFormatting>
  <conditionalFormatting sqref="O10">
    <cfRule type="cellIs" dxfId="1522" priority="34" stopIfTrue="1" operator="notEqual">
      <formula>$P$10</formula>
    </cfRule>
    <cfRule type="cellIs" dxfId="1521" priority="35" stopIfTrue="1" operator="greaterThan">
      <formula>$P$10</formula>
    </cfRule>
  </conditionalFormatting>
  <conditionalFormatting sqref="O11">
    <cfRule type="cellIs" dxfId="1520" priority="32" stopIfTrue="1" operator="notEqual">
      <formula>$P$11</formula>
    </cfRule>
    <cfRule type="cellIs" dxfId="1519" priority="33" stopIfTrue="1" operator="greaterThan">
      <formula>$P$11</formula>
    </cfRule>
  </conditionalFormatting>
  <conditionalFormatting sqref="O12">
    <cfRule type="cellIs" dxfId="1518" priority="31" stopIfTrue="1" operator="notEqual">
      <formula>$P$12</formula>
    </cfRule>
  </conditionalFormatting>
  <conditionalFormatting sqref="O14">
    <cfRule type="cellIs" dxfId="1517" priority="30" stopIfTrue="1" operator="notEqual">
      <formula>$P$14</formula>
    </cfRule>
  </conditionalFormatting>
  <conditionalFormatting sqref="O15">
    <cfRule type="cellIs" dxfId="1516" priority="29" stopIfTrue="1" operator="notEqual">
      <formula>$P$15</formula>
    </cfRule>
  </conditionalFormatting>
  <conditionalFormatting sqref="O16">
    <cfRule type="cellIs" dxfId="1515" priority="28" stopIfTrue="1" operator="notEqual">
      <formula>$P$16</formula>
    </cfRule>
  </conditionalFormatting>
  <conditionalFormatting sqref="O17">
    <cfRule type="cellIs" dxfId="1514" priority="27" stopIfTrue="1" operator="notEqual">
      <formula>$P$17</formula>
    </cfRule>
  </conditionalFormatting>
  <conditionalFormatting sqref="O18">
    <cfRule type="cellIs" dxfId="1513" priority="26" stopIfTrue="1" operator="notEqual">
      <formula>$P$18</formula>
    </cfRule>
  </conditionalFormatting>
  <conditionalFormatting sqref="O19">
    <cfRule type="cellIs" dxfId="1512" priority="24" stopIfTrue="1" operator="notEqual">
      <formula>$P$19</formula>
    </cfRule>
    <cfRule type="cellIs" dxfId="1511" priority="25" stopIfTrue="1" operator="greaterThan">
      <formula>$P$19</formula>
    </cfRule>
  </conditionalFormatting>
  <conditionalFormatting sqref="O20">
    <cfRule type="cellIs" dxfId="1510" priority="22" stopIfTrue="1" operator="notEqual">
      <formula>$P$20</formula>
    </cfRule>
    <cfRule type="cellIs" dxfId="1509" priority="23" stopIfTrue="1" operator="greaterThan">
      <formula>$P$20</formula>
    </cfRule>
  </conditionalFormatting>
  <conditionalFormatting sqref="O21">
    <cfRule type="cellIs" dxfId="1508" priority="21" stopIfTrue="1" operator="notEqual">
      <formula>$P$21</formula>
    </cfRule>
  </conditionalFormatting>
  <conditionalFormatting sqref="O22">
    <cfRule type="cellIs" dxfId="1507" priority="20" stopIfTrue="1" operator="notEqual">
      <formula>$P$22</formula>
    </cfRule>
  </conditionalFormatting>
  <conditionalFormatting sqref="O23">
    <cfRule type="cellIs" dxfId="1506" priority="19" stopIfTrue="1" operator="notEqual">
      <formula>$P$23</formula>
    </cfRule>
  </conditionalFormatting>
  <conditionalFormatting sqref="O24">
    <cfRule type="cellIs" dxfId="1505" priority="17" stopIfTrue="1" operator="notEqual">
      <formula>$P$24</formula>
    </cfRule>
    <cfRule type="cellIs" dxfId="1504" priority="18" stopIfTrue="1" operator="greaterThan">
      <formula>$P$24</formula>
    </cfRule>
  </conditionalFormatting>
  <conditionalFormatting sqref="O25">
    <cfRule type="cellIs" dxfId="1503" priority="15" stopIfTrue="1" operator="notEqual">
      <formula>$P$25</formula>
    </cfRule>
    <cfRule type="cellIs" dxfId="1502" priority="16" stopIfTrue="1" operator="greaterThan">
      <formula>$P$25</formula>
    </cfRule>
  </conditionalFormatting>
  <conditionalFormatting sqref="O26">
    <cfRule type="cellIs" dxfId="1501" priority="14" stopIfTrue="1" operator="notEqual">
      <formula>$P$26</formula>
    </cfRule>
  </conditionalFormatting>
  <conditionalFormatting sqref="O27">
    <cfRule type="cellIs" dxfId="1500" priority="13" stopIfTrue="1" operator="notEqual">
      <formula>$P$27</formula>
    </cfRule>
  </conditionalFormatting>
  <conditionalFormatting sqref="O28">
    <cfRule type="cellIs" dxfId="1499" priority="12" stopIfTrue="1" operator="notEqual">
      <formula>$P$28</formula>
    </cfRule>
  </conditionalFormatting>
  <conditionalFormatting sqref="O29">
    <cfRule type="cellIs" dxfId="1498" priority="11" stopIfTrue="1" operator="notEqual">
      <formula>$P$29</formula>
    </cfRule>
  </conditionalFormatting>
  <conditionalFormatting sqref="O30">
    <cfRule type="cellIs" dxfId="1497" priority="10" stopIfTrue="1" operator="notEqual">
      <formula>$P$30</formula>
    </cfRule>
  </conditionalFormatting>
  <conditionalFormatting sqref="O31">
    <cfRule type="cellIs" dxfId="1496" priority="8" stopIfTrue="1" operator="notEqual">
      <formula>$P$31</formula>
    </cfRule>
    <cfRule type="cellIs" dxfId="1495" priority="9" stopIfTrue="1" operator="greaterThan">
      <formula>$P$31</formula>
    </cfRule>
  </conditionalFormatting>
  <conditionalFormatting sqref="O32">
    <cfRule type="cellIs" dxfId="1494" priority="6" stopIfTrue="1" operator="notEqual">
      <formula>$P$32</formula>
    </cfRule>
    <cfRule type="cellIs" dxfId="1493" priority="7" stopIfTrue="1" operator="greaterThan">
      <formula>$P$32</formula>
    </cfRule>
  </conditionalFormatting>
  <conditionalFormatting sqref="O33">
    <cfRule type="cellIs" dxfId="1492" priority="5" stopIfTrue="1" operator="notEqual">
      <formula>$P$33</formula>
    </cfRule>
  </conditionalFormatting>
  <conditionalFormatting sqref="O13">
    <cfRule type="cellIs" dxfId="1491" priority="4" stopIfTrue="1" operator="notEqual">
      <formula>$P$13</formula>
    </cfRule>
  </conditionalFormatting>
  <conditionalFormatting sqref="AG3:AG34">
    <cfRule type="cellIs" dxfId="1490" priority="3" stopIfTrue="1" operator="notEqual">
      <formula>E3</formula>
    </cfRule>
  </conditionalFormatting>
  <conditionalFormatting sqref="AH3:AH34">
    <cfRule type="cellIs" dxfId="1489" priority="2" stopIfTrue="1" operator="notBetween">
      <formula>AI3+$AG$40</formula>
      <formula>AI3-$AG$40</formula>
    </cfRule>
  </conditionalFormatting>
  <conditionalFormatting sqref="AL3:AL33">
    <cfRule type="cellIs" dxfId="14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129</v>
      </c>
      <c r="B3" s="487">
        <v>0.375</v>
      </c>
      <c r="C3" s="488">
        <v>2013</v>
      </c>
      <c r="D3" s="488">
        <v>3</v>
      </c>
      <c r="E3" s="488">
        <v>1</v>
      </c>
      <c r="F3" s="489">
        <v>291745</v>
      </c>
      <c r="G3" s="488">
        <v>0</v>
      </c>
      <c r="H3" s="489">
        <v>157197</v>
      </c>
      <c r="I3" s="488">
        <v>0</v>
      </c>
      <c r="J3" s="488">
        <v>0</v>
      </c>
      <c r="K3" s="488">
        <v>0</v>
      </c>
      <c r="L3" s="490">
        <v>88.9375</v>
      </c>
      <c r="M3" s="489">
        <v>22.2</v>
      </c>
      <c r="N3" s="491">
        <v>0</v>
      </c>
      <c r="O3" s="492">
        <v>14284</v>
      </c>
      <c r="P3" s="493">
        <f>F4-F3</f>
        <v>14284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14284</v>
      </c>
      <c r="W3" s="498">
        <f>V3*35.31467</f>
        <v>504434.74628000002</v>
      </c>
      <c r="X3" s="497"/>
      <c r="Y3" s="499">
        <f>V3*R3/1000000</f>
        <v>123.19548921686676</v>
      </c>
      <c r="Z3" s="500">
        <f>S3*V3/1000000</f>
        <v>515.79487425317768</v>
      </c>
      <c r="AA3" s="501">
        <f>W3*T3/1000000</f>
        <v>488.87782626186475</v>
      </c>
      <c r="AE3" s="598" t="str">
        <f>RIGHT(F3,6)</f>
        <v>291745</v>
      </c>
      <c r="AF3" s="486">
        <v>129</v>
      </c>
      <c r="AG3" s="491">
        <v>1</v>
      </c>
      <c r="AH3" s="599">
        <v>291745</v>
      </c>
      <c r="AI3" s="600">
        <f>IFERROR(AE3*1,0)</f>
        <v>291745</v>
      </c>
      <c r="AJ3" s="601">
        <f>(AI3-AH3)</f>
        <v>0</v>
      </c>
      <c r="AL3" s="602">
        <f>AH4-AH3</f>
        <v>14300</v>
      </c>
      <c r="AM3" s="603">
        <f>AI4-AI3</f>
        <v>14284</v>
      </c>
      <c r="AN3" s="604">
        <f>(AM3-AL3)</f>
        <v>-16</v>
      </c>
      <c r="AO3" s="605">
        <f>IFERROR(AN3/AM3,"")</f>
        <v>-1.1201344161299357E-3</v>
      </c>
    </row>
    <row r="4" spans="1:41" x14ac:dyDescent="0.2">
      <c r="A4" s="502">
        <v>129</v>
      </c>
      <c r="B4" s="503">
        <v>0.375</v>
      </c>
      <c r="C4" s="504">
        <v>2013</v>
      </c>
      <c r="D4" s="504">
        <v>3</v>
      </c>
      <c r="E4" s="504">
        <v>2</v>
      </c>
      <c r="F4" s="505">
        <v>306029</v>
      </c>
      <c r="G4" s="504">
        <v>0</v>
      </c>
      <c r="H4" s="505">
        <v>713583</v>
      </c>
      <c r="I4" s="504">
        <v>0</v>
      </c>
      <c r="J4" s="504">
        <v>0</v>
      </c>
      <c r="K4" s="504">
        <v>0</v>
      </c>
      <c r="L4" s="506">
        <v>310.76839999999999</v>
      </c>
      <c r="M4" s="505">
        <v>20.8</v>
      </c>
      <c r="N4" s="507">
        <v>0</v>
      </c>
      <c r="O4" s="508">
        <v>4417</v>
      </c>
      <c r="P4" s="493">
        <f t="shared" ref="P4:P33" si="0">F5-F4</f>
        <v>4417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4417</v>
      </c>
      <c r="W4" s="512">
        <f>V4*35.31467</f>
        <v>155984.89739</v>
      </c>
      <c r="X4" s="497"/>
      <c r="Y4" s="513">
        <f>V4*R4/1000000</f>
        <v>38.062013048847135</v>
      </c>
      <c r="Z4" s="510">
        <f>S4*V4/1000000</f>
        <v>159.35803623291318</v>
      </c>
      <c r="AA4" s="511">
        <f>W4*T4/1000000</f>
        <v>151.04184674907341</v>
      </c>
      <c r="AE4" s="598" t="str">
        <f t="shared" ref="AE4:AE34" si="3">RIGHT(F4,6)</f>
        <v>306029</v>
      </c>
      <c r="AF4" s="502">
        <v>129</v>
      </c>
      <c r="AG4" s="606">
        <v>2</v>
      </c>
      <c r="AH4" s="607">
        <v>306045</v>
      </c>
      <c r="AI4" s="608">
        <f t="shared" ref="AI4:AI34" si="4">IFERROR(AE4*1,0)</f>
        <v>306029</v>
      </c>
      <c r="AJ4" s="609">
        <f t="shared" ref="AJ4:AJ34" si="5">(AI4-AH4)</f>
        <v>-16</v>
      </c>
      <c r="AL4" s="602">
        <f t="shared" ref="AL4:AM33" si="6">AH5-AH4</f>
        <v>4401</v>
      </c>
      <c r="AM4" s="610">
        <f t="shared" si="6"/>
        <v>4417</v>
      </c>
      <c r="AN4" s="611">
        <f t="shared" ref="AN4:AN33" si="7">(AM4-AL4)</f>
        <v>16</v>
      </c>
      <c r="AO4" s="612">
        <f t="shared" ref="AO4:AO33" si="8">IFERROR(AN4/AM4,"")</f>
        <v>3.622368123160516E-3</v>
      </c>
    </row>
    <row r="5" spans="1:41" x14ac:dyDescent="0.2">
      <c r="A5" s="502">
        <v>129</v>
      </c>
      <c r="B5" s="503">
        <v>0.375</v>
      </c>
      <c r="C5" s="504">
        <v>2013</v>
      </c>
      <c r="D5" s="504">
        <v>3</v>
      </c>
      <c r="E5" s="504">
        <v>3</v>
      </c>
      <c r="F5" s="505">
        <v>310446</v>
      </c>
      <c r="G5" s="504">
        <v>0</v>
      </c>
      <c r="H5" s="505">
        <v>713775</v>
      </c>
      <c r="I5" s="504">
        <v>0</v>
      </c>
      <c r="J5" s="504">
        <v>0</v>
      </c>
      <c r="K5" s="504">
        <v>0</v>
      </c>
      <c r="L5" s="506">
        <v>316.61439999999999</v>
      </c>
      <c r="M5" s="505">
        <v>12.1</v>
      </c>
      <c r="N5" s="507">
        <v>0</v>
      </c>
      <c r="O5" s="508">
        <v>3878</v>
      </c>
      <c r="P5" s="493">
        <f t="shared" si="0"/>
        <v>3878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3878</v>
      </c>
      <c r="W5" s="512">
        <f t="shared" ref="W5:W33" si="10">V5*35.31467</f>
        <v>136950.29026000001</v>
      </c>
      <c r="X5" s="497"/>
      <c r="Y5" s="513">
        <f t="shared" ref="Y5:Y33" si="11">V5*R5/1000000</f>
        <v>33.506607873755378</v>
      </c>
      <c r="Z5" s="510">
        <f t="shared" ref="Z5:Z33" si="12">S5*V5/1000000</f>
        <v>140.28546584583901</v>
      </c>
      <c r="AA5" s="511">
        <f t="shared" ref="AA5:AA33" si="13">W5*T5/1000000</f>
        <v>132.96458926263617</v>
      </c>
      <c r="AE5" s="598" t="str">
        <f t="shared" si="3"/>
        <v>310446</v>
      </c>
      <c r="AF5" s="502">
        <v>129</v>
      </c>
      <c r="AG5" s="606">
        <v>3</v>
      </c>
      <c r="AH5" s="607">
        <v>310446</v>
      </c>
      <c r="AI5" s="608">
        <f t="shared" si="4"/>
        <v>310446</v>
      </c>
      <c r="AJ5" s="609">
        <f t="shared" si="5"/>
        <v>0</v>
      </c>
      <c r="AL5" s="602">
        <f t="shared" si="6"/>
        <v>3898</v>
      </c>
      <c r="AM5" s="610">
        <f t="shared" si="6"/>
        <v>3878</v>
      </c>
      <c r="AN5" s="611">
        <f t="shared" si="7"/>
        <v>-20</v>
      </c>
      <c r="AO5" s="612">
        <f t="shared" si="8"/>
        <v>-5.1572975760701394E-3</v>
      </c>
    </row>
    <row r="6" spans="1:41" x14ac:dyDescent="0.2">
      <c r="A6" s="502">
        <v>129</v>
      </c>
      <c r="B6" s="503">
        <v>0.375</v>
      </c>
      <c r="C6" s="504">
        <v>2013</v>
      </c>
      <c r="D6" s="504">
        <v>3</v>
      </c>
      <c r="E6" s="504">
        <v>4</v>
      </c>
      <c r="F6" s="505">
        <v>314324</v>
      </c>
      <c r="G6" s="504">
        <v>0</v>
      </c>
      <c r="H6" s="505">
        <v>713942</v>
      </c>
      <c r="I6" s="504">
        <v>0</v>
      </c>
      <c r="J6" s="504">
        <v>0</v>
      </c>
      <c r="K6" s="504">
        <v>0</v>
      </c>
      <c r="L6" s="506">
        <v>317.10059999999999</v>
      </c>
      <c r="M6" s="505">
        <v>18</v>
      </c>
      <c r="N6" s="507">
        <v>0</v>
      </c>
      <c r="O6" s="508">
        <v>22517</v>
      </c>
      <c r="P6" s="493">
        <f t="shared" si="0"/>
        <v>22517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22517</v>
      </c>
      <c r="W6" s="512">
        <f t="shared" si="10"/>
        <v>795180.42438999994</v>
      </c>
      <c r="X6" s="497"/>
      <c r="Y6" s="513">
        <f t="shared" si="11"/>
        <v>195.24571450165141</v>
      </c>
      <c r="Z6" s="510">
        <f t="shared" si="12"/>
        <v>817.45475747551404</v>
      </c>
      <c r="AA6" s="511">
        <f t="shared" si="13"/>
        <v>774.79541742380354</v>
      </c>
      <c r="AE6" s="598" t="str">
        <f t="shared" si="3"/>
        <v>314324</v>
      </c>
      <c r="AF6" s="502">
        <v>129</v>
      </c>
      <c r="AG6" s="606">
        <v>4</v>
      </c>
      <c r="AH6" s="607">
        <v>314344</v>
      </c>
      <c r="AI6" s="608">
        <f t="shared" si="4"/>
        <v>314324</v>
      </c>
      <c r="AJ6" s="609">
        <f t="shared" si="5"/>
        <v>-20</v>
      </c>
      <c r="AL6" s="602">
        <f t="shared" si="6"/>
        <v>22535</v>
      </c>
      <c r="AM6" s="610">
        <f t="shared" si="6"/>
        <v>22517</v>
      </c>
      <c r="AN6" s="611">
        <f t="shared" si="7"/>
        <v>-18</v>
      </c>
      <c r="AO6" s="612">
        <f t="shared" si="8"/>
        <v>-7.9939601190211836E-4</v>
      </c>
    </row>
    <row r="7" spans="1:41" x14ac:dyDescent="0.2">
      <c r="A7" s="502">
        <v>129</v>
      </c>
      <c r="B7" s="503">
        <v>0.375</v>
      </c>
      <c r="C7" s="504">
        <v>2013</v>
      </c>
      <c r="D7" s="504">
        <v>3</v>
      </c>
      <c r="E7" s="504">
        <v>5</v>
      </c>
      <c r="F7" s="505">
        <v>336841</v>
      </c>
      <c r="G7" s="504">
        <v>0</v>
      </c>
      <c r="H7" s="505">
        <v>714947</v>
      </c>
      <c r="I7" s="504">
        <v>0</v>
      </c>
      <c r="J7" s="504">
        <v>0</v>
      </c>
      <c r="K7" s="504">
        <v>0</v>
      </c>
      <c r="L7" s="506">
        <v>307.6703</v>
      </c>
      <c r="M7" s="505">
        <v>21.7</v>
      </c>
      <c r="N7" s="507">
        <v>0</v>
      </c>
      <c r="O7" s="508">
        <v>26107</v>
      </c>
      <c r="P7" s="493">
        <f t="shared" si="0"/>
        <v>26107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26107</v>
      </c>
      <c r="W7" s="512">
        <f t="shared" si="10"/>
        <v>921960.08968999994</v>
      </c>
      <c r="X7" s="497"/>
      <c r="Y7" s="513">
        <f t="shared" si="11"/>
        <v>226.18589353574842</v>
      </c>
      <c r="Z7" s="510">
        <f t="shared" si="12"/>
        <v>946.99509905547143</v>
      </c>
      <c r="AA7" s="511">
        <f t="shared" si="13"/>
        <v>897.57562282333186</v>
      </c>
      <c r="AE7" s="598" t="str">
        <f t="shared" si="3"/>
        <v>336841</v>
      </c>
      <c r="AF7" s="502">
        <v>129</v>
      </c>
      <c r="AG7" s="606">
        <v>5</v>
      </c>
      <c r="AH7" s="607">
        <v>336879</v>
      </c>
      <c r="AI7" s="608">
        <f t="shared" si="4"/>
        <v>336841</v>
      </c>
      <c r="AJ7" s="609">
        <f t="shared" si="5"/>
        <v>-38</v>
      </c>
      <c r="AL7" s="602">
        <f t="shared" si="6"/>
        <v>26112</v>
      </c>
      <c r="AM7" s="610">
        <f t="shared" si="6"/>
        <v>26107</v>
      </c>
      <c r="AN7" s="611">
        <f t="shared" si="7"/>
        <v>-5</v>
      </c>
      <c r="AO7" s="612">
        <f t="shared" si="8"/>
        <v>-1.9151951583866396E-4</v>
      </c>
    </row>
    <row r="8" spans="1:41" x14ac:dyDescent="0.2">
      <c r="A8" s="502">
        <v>129</v>
      </c>
      <c r="B8" s="503">
        <v>0.375</v>
      </c>
      <c r="C8" s="504">
        <v>2013</v>
      </c>
      <c r="D8" s="504">
        <v>3</v>
      </c>
      <c r="E8" s="504">
        <v>6</v>
      </c>
      <c r="F8" s="505">
        <v>362948</v>
      </c>
      <c r="G8" s="504">
        <v>0</v>
      </c>
      <c r="H8" s="505">
        <v>716078</v>
      </c>
      <c r="I8" s="504">
        <v>0</v>
      </c>
      <c r="J8" s="504">
        <v>0</v>
      </c>
      <c r="K8" s="504">
        <v>0</v>
      </c>
      <c r="L8" s="506">
        <v>317.50729999999999</v>
      </c>
      <c r="M8" s="505">
        <v>22</v>
      </c>
      <c r="N8" s="507">
        <v>0</v>
      </c>
      <c r="O8" s="508">
        <v>20523</v>
      </c>
      <c r="P8" s="493">
        <f t="shared" si="0"/>
        <v>20523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20523</v>
      </c>
      <c r="W8" s="512">
        <f t="shared" si="10"/>
        <v>724762.97241000005</v>
      </c>
      <c r="X8" s="497"/>
      <c r="Y8" s="513">
        <f t="shared" si="11"/>
        <v>178.08321251673993</v>
      </c>
      <c r="Z8" s="510">
        <f t="shared" si="12"/>
        <v>745.5987941650867</v>
      </c>
      <c r="AA8" s="511">
        <f t="shared" si="13"/>
        <v>706.6892983042269</v>
      </c>
      <c r="AE8" s="598" t="str">
        <f t="shared" si="3"/>
        <v>362948</v>
      </c>
      <c r="AF8" s="502">
        <v>129</v>
      </c>
      <c r="AG8" s="606">
        <v>6</v>
      </c>
      <c r="AH8" s="607">
        <v>362991</v>
      </c>
      <c r="AI8" s="608">
        <f t="shared" si="4"/>
        <v>362948</v>
      </c>
      <c r="AJ8" s="609">
        <f t="shared" si="5"/>
        <v>-43</v>
      </c>
      <c r="AL8" s="602">
        <f t="shared" si="6"/>
        <v>20506</v>
      </c>
      <c r="AM8" s="610">
        <f t="shared" si="6"/>
        <v>20523</v>
      </c>
      <c r="AN8" s="611">
        <f t="shared" si="7"/>
        <v>17</v>
      </c>
      <c r="AO8" s="612">
        <f t="shared" si="8"/>
        <v>8.2833893680261169E-4</v>
      </c>
    </row>
    <row r="9" spans="1:41" x14ac:dyDescent="0.2">
      <c r="A9" s="502">
        <v>129</v>
      </c>
      <c r="B9" s="503">
        <v>0.375</v>
      </c>
      <c r="C9" s="504">
        <v>2013</v>
      </c>
      <c r="D9" s="504">
        <v>3</v>
      </c>
      <c r="E9" s="504">
        <v>7</v>
      </c>
      <c r="F9" s="505">
        <v>383471</v>
      </c>
      <c r="G9" s="504">
        <v>0</v>
      </c>
      <c r="H9" s="505">
        <v>716959</v>
      </c>
      <c r="I9" s="504">
        <v>0</v>
      </c>
      <c r="J9" s="504">
        <v>0</v>
      </c>
      <c r="K9" s="504">
        <v>0</v>
      </c>
      <c r="L9" s="506">
        <v>321.16820000000001</v>
      </c>
      <c r="M9" s="505">
        <v>21.8</v>
      </c>
      <c r="N9" s="507">
        <v>0</v>
      </c>
      <c r="O9" s="508">
        <v>21685</v>
      </c>
      <c r="P9" s="493">
        <f t="shared" si="0"/>
        <v>21685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21685</v>
      </c>
      <c r="W9" s="512">
        <f t="shared" si="10"/>
        <v>765798.61895000003</v>
      </c>
      <c r="X9" s="497"/>
      <c r="Y9" s="513">
        <f t="shared" si="11"/>
        <v>188.31738332864271</v>
      </c>
      <c r="Z9" s="510">
        <f t="shared" si="12"/>
        <v>788.44722052036104</v>
      </c>
      <c r="AA9" s="511">
        <f t="shared" si="13"/>
        <v>747.30165523320636</v>
      </c>
      <c r="AE9" s="598" t="str">
        <f t="shared" si="3"/>
        <v>383471</v>
      </c>
      <c r="AF9" s="502">
        <v>129</v>
      </c>
      <c r="AG9" s="606">
        <v>7</v>
      </c>
      <c r="AH9" s="607">
        <v>383497</v>
      </c>
      <c r="AI9" s="608">
        <f t="shared" si="4"/>
        <v>383471</v>
      </c>
      <c r="AJ9" s="609">
        <f t="shared" si="5"/>
        <v>-26</v>
      </c>
      <c r="AL9" s="602">
        <f t="shared" si="6"/>
        <v>21706</v>
      </c>
      <c r="AM9" s="610">
        <f t="shared" si="6"/>
        <v>21685</v>
      </c>
      <c r="AN9" s="611">
        <f t="shared" si="7"/>
        <v>-21</v>
      </c>
      <c r="AO9" s="612">
        <f t="shared" si="8"/>
        <v>-9.6841134424717544E-4</v>
      </c>
    </row>
    <row r="10" spans="1:41" x14ac:dyDescent="0.2">
      <c r="A10" s="502">
        <v>129</v>
      </c>
      <c r="B10" s="503">
        <v>0.375</v>
      </c>
      <c r="C10" s="504">
        <v>2013</v>
      </c>
      <c r="D10" s="504">
        <v>3</v>
      </c>
      <c r="E10" s="504">
        <v>8</v>
      </c>
      <c r="F10" s="505">
        <v>405156</v>
      </c>
      <c r="G10" s="504">
        <v>0</v>
      </c>
      <c r="H10" s="505">
        <v>717889</v>
      </c>
      <c r="I10" s="504">
        <v>0</v>
      </c>
      <c r="J10" s="504">
        <v>0</v>
      </c>
      <c r="K10" s="504">
        <v>0</v>
      </c>
      <c r="L10" s="506">
        <v>320.19240000000002</v>
      </c>
      <c r="M10" s="505">
        <v>22.5</v>
      </c>
      <c r="N10" s="507">
        <v>0</v>
      </c>
      <c r="O10" s="508">
        <v>26546</v>
      </c>
      <c r="P10" s="493">
        <f t="shared" si="0"/>
        <v>26546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26546</v>
      </c>
      <c r="W10" s="512">
        <f t="shared" si="10"/>
        <v>937463.22982000001</v>
      </c>
      <c r="X10" s="497"/>
      <c r="Y10" s="513">
        <f t="shared" si="11"/>
        <v>230.43010117418569</v>
      </c>
      <c r="Z10" s="510">
        <f t="shared" si="12"/>
        <v>964.76474759608061</v>
      </c>
      <c r="AA10" s="511">
        <f t="shared" si="13"/>
        <v>914.41795217867605</v>
      </c>
      <c r="AE10" s="598" t="str">
        <f t="shared" si="3"/>
        <v>405156</v>
      </c>
      <c r="AF10" s="502">
        <v>129</v>
      </c>
      <c r="AG10" s="606">
        <v>8</v>
      </c>
      <c r="AH10" s="607">
        <v>405203</v>
      </c>
      <c r="AI10" s="608">
        <f t="shared" si="4"/>
        <v>405156</v>
      </c>
      <c r="AJ10" s="609">
        <f t="shared" si="5"/>
        <v>-47</v>
      </c>
      <c r="AL10" s="602">
        <f t="shared" si="6"/>
        <v>26554</v>
      </c>
      <c r="AM10" s="610">
        <f t="shared" si="6"/>
        <v>26546</v>
      </c>
      <c r="AN10" s="611">
        <f t="shared" si="7"/>
        <v>-8</v>
      </c>
      <c r="AO10" s="612">
        <f t="shared" si="8"/>
        <v>-3.0136367060950805E-4</v>
      </c>
    </row>
    <row r="11" spans="1:41" x14ac:dyDescent="0.2">
      <c r="A11" s="502">
        <v>129</v>
      </c>
      <c r="B11" s="503">
        <v>0.375</v>
      </c>
      <c r="C11" s="504">
        <v>2013</v>
      </c>
      <c r="D11" s="504">
        <v>3</v>
      </c>
      <c r="E11" s="504">
        <v>9</v>
      </c>
      <c r="F11" s="505">
        <v>431702</v>
      </c>
      <c r="G11" s="504">
        <v>0</v>
      </c>
      <c r="H11" s="505">
        <v>719030</v>
      </c>
      <c r="I11" s="504">
        <v>0</v>
      </c>
      <c r="J11" s="504">
        <v>0</v>
      </c>
      <c r="K11" s="504">
        <v>0</v>
      </c>
      <c r="L11" s="506">
        <v>319.76049999999998</v>
      </c>
      <c r="M11" s="505">
        <v>22.5</v>
      </c>
      <c r="N11" s="507">
        <v>0</v>
      </c>
      <c r="O11" s="508">
        <v>8574</v>
      </c>
      <c r="P11" s="493">
        <f t="shared" si="0"/>
        <v>8574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8574</v>
      </c>
      <c r="W11" s="515">
        <f t="shared" si="10"/>
        <v>302787.98057999997</v>
      </c>
      <c r="Y11" s="513">
        <f t="shared" si="11"/>
        <v>74.478889434822321</v>
      </c>
      <c r="Z11" s="510">
        <f t="shared" si="12"/>
        <v>311.82821428571407</v>
      </c>
      <c r="AA11" s="511">
        <f t="shared" si="13"/>
        <v>295.5552821028827</v>
      </c>
      <c r="AE11" s="598" t="str">
        <f t="shared" si="3"/>
        <v>431702</v>
      </c>
      <c r="AF11" s="502">
        <v>129</v>
      </c>
      <c r="AG11" s="606">
        <v>9</v>
      </c>
      <c r="AH11" s="607">
        <v>431757</v>
      </c>
      <c r="AI11" s="608">
        <f t="shared" si="4"/>
        <v>431702</v>
      </c>
      <c r="AJ11" s="609">
        <f t="shared" si="5"/>
        <v>-55</v>
      </c>
      <c r="AL11" s="602">
        <f t="shared" si="6"/>
        <v>8536</v>
      </c>
      <c r="AM11" s="610">
        <f t="shared" si="6"/>
        <v>8574</v>
      </c>
      <c r="AN11" s="611">
        <f t="shared" si="7"/>
        <v>38</v>
      </c>
      <c r="AO11" s="612">
        <f t="shared" si="8"/>
        <v>4.4320037322136694E-3</v>
      </c>
    </row>
    <row r="12" spans="1:41" x14ac:dyDescent="0.2">
      <c r="A12" s="502">
        <v>129</v>
      </c>
      <c r="B12" s="503">
        <v>0.375</v>
      </c>
      <c r="C12" s="504">
        <v>2013</v>
      </c>
      <c r="D12" s="504">
        <v>3</v>
      </c>
      <c r="E12" s="504">
        <v>10</v>
      </c>
      <c r="F12" s="505">
        <v>440276</v>
      </c>
      <c r="G12" s="504">
        <v>0</v>
      </c>
      <c r="H12" s="505">
        <v>719399</v>
      </c>
      <c r="I12" s="504">
        <v>0</v>
      </c>
      <c r="J12" s="504">
        <v>0</v>
      </c>
      <c r="K12" s="504">
        <v>0</v>
      </c>
      <c r="L12" s="506">
        <v>326.50029999999998</v>
      </c>
      <c r="M12" s="505">
        <v>18.5</v>
      </c>
      <c r="N12" s="507">
        <v>0</v>
      </c>
      <c r="O12" s="508">
        <v>11613</v>
      </c>
      <c r="P12" s="493">
        <f t="shared" si="0"/>
        <v>11613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11613</v>
      </c>
      <c r="W12" s="515">
        <f t="shared" si="10"/>
        <v>410109.26270999998</v>
      </c>
      <c r="Y12" s="513">
        <f t="shared" si="11"/>
        <v>101.02026343326305</v>
      </c>
      <c r="Z12" s="510">
        <f t="shared" si="12"/>
        <v>422.95163894238573</v>
      </c>
      <c r="AA12" s="511">
        <f t="shared" si="13"/>
        <v>400.87966783196993</v>
      </c>
      <c r="AE12" s="598" t="str">
        <f t="shared" si="3"/>
        <v>440276</v>
      </c>
      <c r="AF12" s="502">
        <v>129</v>
      </c>
      <c r="AG12" s="606">
        <v>10</v>
      </c>
      <c r="AH12" s="607">
        <v>440293</v>
      </c>
      <c r="AI12" s="608">
        <f t="shared" si="4"/>
        <v>440276</v>
      </c>
      <c r="AJ12" s="609">
        <f t="shared" si="5"/>
        <v>-17</v>
      </c>
      <c r="AL12" s="602">
        <f t="shared" si="6"/>
        <v>11649</v>
      </c>
      <c r="AM12" s="610">
        <f t="shared" si="6"/>
        <v>11613</v>
      </c>
      <c r="AN12" s="611">
        <f t="shared" si="7"/>
        <v>-36</v>
      </c>
      <c r="AO12" s="612">
        <f t="shared" si="8"/>
        <v>-3.0999741668819429E-3</v>
      </c>
    </row>
    <row r="13" spans="1:41" x14ac:dyDescent="0.2">
      <c r="A13" s="502">
        <v>129</v>
      </c>
      <c r="B13" s="503">
        <v>0.375</v>
      </c>
      <c r="C13" s="504">
        <v>2013</v>
      </c>
      <c r="D13" s="504">
        <v>3</v>
      </c>
      <c r="E13" s="504">
        <v>11</v>
      </c>
      <c r="F13" s="505">
        <v>451889</v>
      </c>
      <c r="G13" s="504">
        <v>0</v>
      </c>
      <c r="H13" s="505">
        <v>719889</v>
      </c>
      <c r="I13" s="504">
        <v>0</v>
      </c>
      <c r="J13" s="504">
        <v>0</v>
      </c>
      <c r="K13" s="504">
        <v>0</v>
      </c>
      <c r="L13" s="506">
        <v>325.80939999999998</v>
      </c>
      <c r="M13" s="505">
        <v>22.2</v>
      </c>
      <c r="N13" s="507">
        <v>0</v>
      </c>
      <c r="O13" s="508">
        <v>23931</v>
      </c>
      <c r="P13" s="493">
        <f t="shared" si="0"/>
        <v>23931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23931</v>
      </c>
      <c r="W13" s="515">
        <f t="shared" si="10"/>
        <v>845115.36777000001</v>
      </c>
      <c r="Y13" s="513">
        <f t="shared" si="11"/>
        <v>207.81272146276339</v>
      </c>
      <c r="Z13" s="510">
        <f t="shared" si="12"/>
        <v>870.07030222029778</v>
      </c>
      <c r="AA13" s="511">
        <f t="shared" si="13"/>
        <v>824.66519013074958</v>
      </c>
      <c r="AE13" s="598" t="str">
        <f t="shared" si="3"/>
        <v>451889</v>
      </c>
      <c r="AF13" s="502">
        <v>129</v>
      </c>
      <c r="AG13" s="606">
        <v>11</v>
      </c>
      <c r="AH13" s="607">
        <v>451942</v>
      </c>
      <c r="AI13" s="608">
        <f t="shared" si="4"/>
        <v>451889</v>
      </c>
      <c r="AJ13" s="609">
        <f t="shared" si="5"/>
        <v>-53</v>
      </c>
      <c r="AL13" s="602">
        <f t="shared" si="6"/>
        <v>23942</v>
      </c>
      <c r="AM13" s="610">
        <f t="shared" si="6"/>
        <v>23931</v>
      </c>
      <c r="AN13" s="611">
        <f t="shared" si="7"/>
        <v>-11</v>
      </c>
      <c r="AO13" s="612">
        <f t="shared" si="8"/>
        <v>-4.596548410012118E-4</v>
      </c>
    </row>
    <row r="14" spans="1:41" x14ac:dyDescent="0.2">
      <c r="A14" s="502">
        <v>129</v>
      </c>
      <c r="B14" s="503">
        <v>0.375</v>
      </c>
      <c r="C14" s="504">
        <v>2013</v>
      </c>
      <c r="D14" s="504">
        <v>3</v>
      </c>
      <c r="E14" s="504">
        <v>12</v>
      </c>
      <c r="F14" s="505">
        <v>475820</v>
      </c>
      <c r="G14" s="504">
        <v>0</v>
      </c>
      <c r="H14" s="505">
        <v>720917</v>
      </c>
      <c r="I14" s="504">
        <v>0</v>
      </c>
      <c r="J14" s="504">
        <v>0</v>
      </c>
      <c r="K14" s="504">
        <v>0</v>
      </c>
      <c r="L14" s="506">
        <v>319.81880000000001</v>
      </c>
      <c r="M14" s="505">
        <v>22.2</v>
      </c>
      <c r="N14" s="507">
        <v>0</v>
      </c>
      <c r="O14" s="508">
        <v>27862</v>
      </c>
      <c r="P14" s="493">
        <f t="shared" si="0"/>
        <v>27862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27862</v>
      </c>
      <c r="W14" s="515">
        <f t="shared" si="10"/>
        <v>983937.33554</v>
      </c>
      <c r="Y14" s="513">
        <f t="shared" si="11"/>
        <v>242.05284845926488</v>
      </c>
      <c r="Z14" s="510">
        <f t="shared" si="12"/>
        <v>1013.4268659292501</v>
      </c>
      <c r="AA14" s="511">
        <f t="shared" si="13"/>
        <v>960.54061027306477</v>
      </c>
      <c r="AE14" s="598" t="str">
        <f t="shared" si="3"/>
        <v>475820</v>
      </c>
      <c r="AF14" s="502">
        <v>129</v>
      </c>
      <c r="AG14" s="606">
        <v>12</v>
      </c>
      <c r="AH14" s="607">
        <v>475884</v>
      </c>
      <c r="AI14" s="608">
        <f t="shared" si="4"/>
        <v>475820</v>
      </c>
      <c r="AJ14" s="609">
        <f t="shared" si="5"/>
        <v>-64</v>
      </c>
      <c r="AL14" s="602">
        <f t="shared" si="6"/>
        <v>27869</v>
      </c>
      <c r="AM14" s="610">
        <f t="shared" si="6"/>
        <v>27862</v>
      </c>
      <c r="AN14" s="611">
        <f t="shared" si="7"/>
        <v>-7</v>
      </c>
      <c r="AO14" s="612">
        <f t="shared" si="8"/>
        <v>-2.5123824563922189E-4</v>
      </c>
    </row>
    <row r="15" spans="1:41" x14ac:dyDescent="0.2">
      <c r="A15" s="502">
        <v>129</v>
      </c>
      <c r="B15" s="503">
        <v>0.375</v>
      </c>
      <c r="C15" s="504">
        <v>2013</v>
      </c>
      <c r="D15" s="504">
        <v>3</v>
      </c>
      <c r="E15" s="504">
        <v>13</v>
      </c>
      <c r="F15" s="505">
        <v>503682</v>
      </c>
      <c r="G15" s="504">
        <v>0</v>
      </c>
      <c r="H15" s="505">
        <v>722127</v>
      </c>
      <c r="I15" s="504">
        <v>0</v>
      </c>
      <c r="J15" s="504">
        <v>0</v>
      </c>
      <c r="K15" s="504">
        <v>0</v>
      </c>
      <c r="L15" s="506">
        <v>317.01620000000003</v>
      </c>
      <c r="M15" s="505">
        <v>22.5</v>
      </c>
      <c r="N15" s="507">
        <v>0</v>
      </c>
      <c r="O15" s="508">
        <v>28329</v>
      </c>
      <c r="P15" s="493">
        <f t="shared" si="0"/>
        <v>28329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28329</v>
      </c>
      <c r="W15" s="515">
        <f t="shared" si="10"/>
        <v>1000429.28643</v>
      </c>
      <c r="Y15" s="513">
        <f t="shared" si="11"/>
        <v>245.52568322156097</v>
      </c>
      <c r="Z15" s="510">
        <f t="shared" si="12"/>
        <v>1027.9669305120315</v>
      </c>
      <c r="AA15" s="511">
        <f t="shared" si="13"/>
        <v>974.32189334073644</v>
      </c>
      <c r="AE15" s="598" t="str">
        <f t="shared" si="3"/>
        <v>503682</v>
      </c>
      <c r="AF15" s="502">
        <v>129</v>
      </c>
      <c r="AG15" s="606">
        <v>13</v>
      </c>
      <c r="AH15" s="607">
        <v>503753</v>
      </c>
      <c r="AI15" s="608">
        <f t="shared" si="4"/>
        <v>503682</v>
      </c>
      <c r="AJ15" s="609">
        <f t="shared" si="5"/>
        <v>-71</v>
      </c>
      <c r="AL15" s="602">
        <f t="shared" si="6"/>
        <v>28334</v>
      </c>
      <c r="AM15" s="610">
        <f t="shared" si="6"/>
        <v>28329</v>
      </c>
      <c r="AN15" s="611">
        <f t="shared" si="7"/>
        <v>-5</v>
      </c>
      <c r="AO15" s="612">
        <f t="shared" si="8"/>
        <v>-1.7649758198312683E-4</v>
      </c>
    </row>
    <row r="16" spans="1:41" x14ac:dyDescent="0.2">
      <c r="A16" s="502">
        <v>129</v>
      </c>
      <c r="B16" s="503">
        <v>0.375</v>
      </c>
      <c r="C16" s="504">
        <v>2013</v>
      </c>
      <c r="D16" s="504">
        <v>3</v>
      </c>
      <c r="E16" s="504">
        <v>14</v>
      </c>
      <c r="F16" s="505">
        <v>532011</v>
      </c>
      <c r="G16" s="504">
        <v>0</v>
      </c>
      <c r="H16" s="505">
        <v>723358</v>
      </c>
      <c r="I16" s="504">
        <v>0</v>
      </c>
      <c r="J16" s="504">
        <v>0</v>
      </c>
      <c r="K16" s="504">
        <v>0</v>
      </c>
      <c r="L16" s="506">
        <v>315.81650000000002</v>
      </c>
      <c r="M16" s="505">
        <v>21.7</v>
      </c>
      <c r="N16" s="507">
        <v>0</v>
      </c>
      <c r="O16" s="508">
        <v>27646</v>
      </c>
      <c r="P16" s="493">
        <f t="shared" si="0"/>
        <v>27646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27646</v>
      </c>
      <c r="W16" s="515">
        <f t="shared" si="10"/>
        <v>976309.36682</v>
      </c>
      <c r="Y16" s="513">
        <f t="shared" si="11"/>
        <v>238.98570116317617</v>
      </c>
      <c r="Z16" s="510">
        <f t="shared" si="12"/>
        <v>1000.5853336299859</v>
      </c>
      <c r="AA16" s="511">
        <f t="shared" si="13"/>
        <v>948.36922061855194</v>
      </c>
      <c r="AE16" s="598" t="str">
        <f t="shared" si="3"/>
        <v>532011</v>
      </c>
      <c r="AF16" s="502">
        <v>129</v>
      </c>
      <c r="AG16" s="606">
        <v>14</v>
      </c>
      <c r="AH16" s="607">
        <v>532087</v>
      </c>
      <c r="AI16" s="608">
        <f t="shared" si="4"/>
        <v>532011</v>
      </c>
      <c r="AJ16" s="609">
        <f t="shared" si="5"/>
        <v>-76</v>
      </c>
      <c r="AL16" s="602">
        <f t="shared" si="6"/>
        <v>27647</v>
      </c>
      <c r="AM16" s="610">
        <f t="shared" si="6"/>
        <v>27646</v>
      </c>
      <c r="AN16" s="611">
        <f t="shared" si="7"/>
        <v>-1</v>
      </c>
      <c r="AO16" s="612">
        <f t="shared" si="8"/>
        <v>-3.6171598061202344E-5</v>
      </c>
    </row>
    <row r="17" spans="1:41" x14ac:dyDescent="0.2">
      <c r="A17" s="502">
        <v>129</v>
      </c>
      <c r="B17" s="503">
        <v>0.375</v>
      </c>
      <c r="C17" s="504">
        <v>2013</v>
      </c>
      <c r="D17" s="504">
        <v>3</v>
      </c>
      <c r="E17" s="504">
        <v>15</v>
      </c>
      <c r="F17" s="505">
        <v>559657</v>
      </c>
      <c r="G17" s="504">
        <v>0</v>
      </c>
      <c r="H17" s="505">
        <v>724553</v>
      </c>
      <c r="I17" s="504">
        <v>0</v>
      </c>
      <c r="J17" s="504">
        <v>0</v>
      </c>
      <c r="K17" s="504">
        <v>0</v>
      </c>
      <c r="L17" s="506">
        <v>316.94569999999999</v>
      </c>
      <c r="M17" s="505">
        <v>21.5</v>
      </c>
      <c r="N17" s="507">
        <v>0</v>
      </c>
      <c r="O17" s="508">
        <v>27822</v>
      </c>
      <c r="P17" s="493">
        <f t="shared" si="0"/>
        <v>27822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27822</v>
      </c>
      <c r="W17" s="515">
        <f t="shared" si="10"/>
        <v>982524.74873999995</v>
      </c>
      <c r="Y17" s="513">
        <f t="shared" si="11"/>
        <v>243.52272217624829</v>
      </c>
      <c r="Z17" s="510">
        <f t="shared" si="12"/>
        <v>1019.5809332075163</v>
      </c>
      <c r="AA17" s="511">
        <f t="shared" si="13"/>
        <v>966.3735240607873</v>
      </c>
      <c r="AE17" s="598" t="str">
        <f t="shared" si="3"/>
        <v>559657</v>
      </c>
      <c r="AF17" s="502">
        <v>129</v>
      </c>
      <c r="AG17" s="606">
        <v>15</v>
      </c>
      <c r="AH17" s="607">
        <v>559734</v>
      </c>
      <c r="AI17" s="608">
        <f t="shared" si="4"/>
        <v>559657</v>
      </c>
      <c r="AJ17" s="609">
        <f t="shared" si="5"/>
        <v>-77</v>
      </c>
      <c r="AL17" s="602">
        <f t="shared" si="6"/>
        <v>27826</v>
      </c>
      <c r="AM17" s="610">
        <f t="shared" si="6"/>
        <v>27822</v>
      </c>
      <c r="AN17" s="611">
        <f t="shared" si="7"/>
        <v>-4</v>
      </c>
      <c r="AO17" s="612">
        <f t="shared" si="8"/>
        <v>-1.4377111638271871E-4</v>
      </c>
    </row>
    <row r="18" spans="1:41" x14ac:dyDescent="0.2">
      <c r="A18" s="502">
        <v>129</v>
      </c>
      <c r="B18" s="503">
        <v>0.375</v>
      </c>
      <c r="C18" s="504">
        <v>2013</v>
      </c>
      <c r="D18" s="504">
        <v>3</v>
      </c>
      <c r="E18" s="504">
        <v>16</v>
      </c>
      <c r="F18" s="505">
        <v>587479</v>
      </c>
      <c r="G18" s="504">
        <v>0</v>
      </c>
      <c r="H18" s="505">
        <v>725758</v>
      </c>
      <c r="I18" s="504">
        <v>0</v>
      </c>
      <c r="J18" s="504">
        <v>0</v>
      </c>
      <c r="K18" s="504">
        <v>0</v>
      </c>
      <c r="L18" s="506">
        <v>316.1925</v>
      </c>
      <c r="M18" s="505">
        <v>21.1</v>
      </c>
      <c r="N18" s="507">
        <v>0</v>
      </c>
      <c r="O18" s="508">
        <v>8449</v>
      </c>
      <c r="P18" s="493">
        <f t="shared" si="0"/>
        <v>8449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8449</v>
      </c>
      <c r="W18" s="515">
        <f t="shared" si="10"/>
        <v>298373.64682999998</v>
      </c>
      <c r="Y18" s="513">
        <f t="shared" si="11"/>
        <v>73.953111913849526</v>
      </c>
      <c r="Z18" s="510">
        <f t="shared" si="12"/>
        <v>309.62688896090526</v>
      </c>
      <c r="AA18" s="511">
        <f t="shared" si="13"/>
        <v>293.46883418839735</v>
      </c>
      <c r="AE18" s="598" t="str">
        <f t="shared" si="3"/>
        <v>587479</v>
      </c>
      <c r="AF18" s="502">
        <v>129</v>
      </c>
      <c r="AG18" s="606">
        <v>16</v>
      </c>
      <c r="AH18" s="607">
        <v>587560</v>
      </c>
      <c r="AI18" s="608">
        <f t="shared" si="4"/>
        <v>587479</v>
      </c>
      <c r="AJ18" s="609">
        <f t="shared" si="5"/>
        <v>-81</v>
      </c>
      <c r="AL18" s="602">
        <f t="shared" si="6"/>
        <v>8367</v>
      </c>
      <c r="AM18" s="610">
        <f t="shared" si="6"/>
        <v>8449</v>
      </c>
      <c r="AN18" s="611">
        <f t="shared" si="7"/>
        <v>82</v>
      </c>
      <c r="AO18" s="612">
        <f t="shared" si="8"/>
        <v>9.705290566930997E-3</v>
      </c>
    </row>
    <row r="19" spans="1:41" x14ac:dyDescent="0.2">
      <c r="A19" s="502">
        <v>129</v>
      </c>
      <c r="B19" s="503">
        <v>0.375</v>
      </c>
      <c r="C19" s="504">
        <v>2013</v>
      </c>
      <c r="D19" s="504">
        <v>3</v>
      </c>
      <c r="E19" s="504">
        <v>17</v>
      </c>
      <c r="F19" s="505">
        <v>595928</v>
      </c>
      <c r="G19" s="504">
        <v>0</v>
      </c>
      <c r="H19" s="505">
        <v>726117</v>
      </c>
      <c r="I19" s="504">
        <v>0</v>
      </c>
      <c r="J19" s="504">
        <v>0</v>
      </c>
      <c r="K19" s="504">
        <v>0</v>
      </c>
      <c r="L19" s="506">
        <v>326.07650000000001</v>
      </c>
      <c r="M19" s="505">
        <v>15.5</v>
      </c>
      <c r="N19" s="507">
        <v>0</v>
      </c>
      <c r="O19" s="508">
        <v>353</v>
      </c>
      <c r="P19" s="493">
        <f t="shared" si="0"/>
        <v>353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353</v>
      </c>
      <c r="W19" s="515">
        <f t="shared" si="10"/>
        <v>12466.078509999999</v>
      </c>
      <c r="Y19" s="513">
        <f t="shared" si="11"/>
        <v>3.0897678430096915</v>
      </c>
      <c r="Z19" s="510">
        <f t="shared" si="12"/>
        <v>12.936240005112978</v>
      </c>
      <c r="AA19" s="511">
        <f t="shared" si="13"/>
        <v>12.26115498502832</v>
      </c>
      <c r="AE19" s="598" t="str">
        <f t="shared" si="3"/>
        <v>595928</v>
      </c>
      <c r="AF19" s="502">
        <v>129</v>
      </c>
      <c r="AG19" s="606">
        <v>17</v>
      </c>
      <c r="AH19" s="607">
        <v>595927</v>
      </c>
      <c r="AI19" s="608">
        <f t="shared" si="4"/>
        <v>595928</v>
      </c>
      <c r="AJ19" s="609">
        <f t="shared" si="5"/>
        <v>1</v>
      </c>
      <c r="AL19" s="602">
        <f t="shared" si="6"/>
        <v>354</v>
      </c>
      <c r="AM19" s="610">
        <f t="shared" si="6"/>
        <v>353</v>
      </c>
      <c r="AN19" s="611">
        <f t="shared" si="7"/>
        <v>-1</v>
      </c>
      <c r="AO19" s="612">
        <f t="shared" si="8"/>
        <v>-2.8328611898016999E-3</v>
      </c>
    </row>
    <row r="20" spans="1:41" x14ac:dyDescent="0.2">
      <c r="A20" s="502">
        <v>129</v>
      </c>
      <c r="B20" s="503">
        <v>0.375</v>
      </c>
      <c r="C20" s="504">
        <v>2013</v>
      </c>
      <c r="D20" s="504">
        <v>3</v>
      </c>
      <c r="E20" s="504">
        <v>18</v>
      </c>
      <c r="F20" s="505">
        <v>596281</v>
      </c>
      <c r="G20" s="504">
        <v>0</v>
      </c>
      <c r="H20" s="505">
        <v>726132</v>
      </c>
      <c r="I20" s="504">
        <v>0</v>
      </c>
      <c r="J20" s="504">
        <v>0</v>
      </c>
      <c r="K20" s="504">
        <v>0</v>
      </c>
      <c r="L20" s="506">
        <v>327.49639999999999</v>
      </c>
      <c r="M20" s="505">
        <v>18.2</v>
      </c>
      <c r="N20" s="507">
        <v>0</v>
      </c>
      <c r="O20" s="508">
        <v>5594</v>
      </c>
      <c r="P20" s="493">
        <f t="shared" si="0"/>
        <v>5594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5594</v>
      </c>
      <c r="W20" s="515">
        <f t="shared" si="10"/>
        <v>197550.26397999999</v>
      </c>
      <c r="Y20" s="513">
        <f t="shared" si="11"/>
        <v>48.96362978412526</v>
      </c>
      <c r="Z20" s="510">
        <f t="shared" si="12"/>
        <v>205.00092518017564</v>
      </c>
      <c r="AA20" s="511">
        <f t="shared" si="13"/>
        <v>194.3028356550947</v>
      </c>
      <c r="AE20" s="598" t="str">
        <f t="shared" si="3"/>
        <v>596281</v>
      </c>
      <c r="AF20" s="502">
        <v>129</v>
      </c>
      <c r="AG20" s="606">
        <v>18</v>
      </c>
      <c r="AH20" s="607">
        <v>596281</v>
      </c>
      <c r="AI20" s="608">
        <f t="shared" si="4"/>
        <v>596281</v>
      </c>
      <c r="AJ20" s="609">
        <f t="shared" si="5"/>
        <v>0</v>
      </c>
      <c r="AL20" s="602">
        <f t="shared" si="6"/>
        <v>5670</v>
      </c>
      <c r="AM20" s="610">
        <f t="shared" si="6"/>
        <v>5594</v>
      </c>
      <c r="AN20" s="611">
        <f t="shared" si="7"/>
        <v>-76</v>
      </c>
      <c r="AO20" s="612">
        <f t="shared" si="8"/>
        <v>-1.3585984983911333E-2</v>
      </c>
    </row>
    <row r="21" spans="1:41" x14ac:dyDescent="0.2">
      <c r="A21" s="502">
        <v>129</v>
      </c>
      <c r="B21" s="503">
        <v>0.375</v>
      </c>
      <c r="C21" s="504">
        <v>2013</v>
      </c>
      <c r="D21" s="504">
        <v>3</v>
      </c>
      <c r="E21" s="504">
        <v>19</v>
      </c>
      <c r="F21" s="505">
        <v>601875</v>
      </c>
      <c r="G21" s="504">
        <v>0</v>
      </c>
      <c r="H21" s="505">
        <v>726366</v>
      </c>
      <c r="I21" s="504">
        <v>0</v>
      </c>
      <c r="J21" s="504">
        <v>0</v>
      </c>
      <c r="K21" s="504">
        <v>0</v>
      </c>
      <c r="L21" s="506">
        <v>326.31189999999998</v>
      </c>
      <c r="M21" s="505">
        <v>24</v>
      </c>
      <c r="N21" s="507">
        <v>0</v>
      </c>
      <c r="O21" s="508">
        <v>25442</v>
      </c>
      <c r="P21" s="493">
        <f t="shared" si="0"/>
        <v>25442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25442</v>
      </c>
      <c r="W21" s="515">
        <f t="shared" si="10"/>
        <v>898475.83413999993</v>
      </c>
      <c r="Y21" s="513">
        <f t="shared" si="11"/>
        <v>222.69085966530474</v>
      </c>
      <c r="Z21" s="510">
        <f t="shared" si="12"/>
        <v>932.36209124669801</v>
      </c>
      <c r="AA21" s="511">
        <f t="shared" si="13"/>
        <v>883.70624682461892</v>
      </c>
      <c r="AE21" s="598" t="str">
        <f t="shared" si="3"/>
        <v>601875</v>
      </c>
      <c r="AF21" s="502">
        <v>129</v>
      </c>
      <c r="AG21" s="606">
        <v>19</v>
      </c>
      <c r="AH21" s="607">
        <v>601951</v>
      </c>
      <c r="AI21" s="608">
        <f t="shared" si="4"/>
        <v>601875</v>
      </c>
      <c r="AJ21" s="609">
        <f t="shared" si="5"/>
        <v>-76</v>
      </c>
      <c r="AL21" s="602">
        <f t="shared" si="6"/>
        <v>25459</v>
      </c>
      <c r="AM21" s="610">
        <f t="shared" si="6"/>
        <v>25442</v>
      </c>
      <c r="AN21" s="611">
        <f t="shared" si="7"/>
        <v>-17</v>
      </c>
      <c r="AO21" s="612">
        <f t="shared" si="8"/>
        <v>-6.6818646332835472E-4</v>
      </c>
    </row>
    <row r="22" spans="1:41" x14ac:dyDescent="0.2">
      <c r="A22" s="502">
        <v>129</v>
      </c>
      <c r="B22" s="503">
        <v>0.375</v>
      </c>
      <c r="C22" s="504">
        <v>2013</v>
      </c>
      <c r="D22" s="504">
        <v>3</v>
      </c>
      <c r="E22" s="504">
        <v>20</v>
      </c>
      <c r="F22" s="505">
        <v>627317</v>
      </c>
      <c r="G22" s="504">
        <v>0</v>
      </c>
      <c r="H22" s="505">
        <v>727467</v>
      </c>
      <c r="I22" s="504">
        <v>0</v>
      </c>
      <c r="J22" s="504">
        <v>0</v>
      </c>
      <c r="K22" s="504">
        <v>0</v>
      </c>
      <c r="L22" s="506">
        <v>318.4033</v>
      </c>
      <c r="M22" s="505">
        <v>22.7</v>
      </c>
      <c r="N22" s="507">
        <v>0</v>
      </c>
      <c r="O22" s="508">
        <v>26775</v>
      </c>
      <c r="P22" s="493">
        <f t="shared" si="0"/>
        <v>26775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26775</v>
      </c>
      <c r="W22" s="515">
        <f t="shared" si="10"/>
        <v>945550.28925000003</v>
      </c>
      <c r="Y22" s="513">
        <f t="shared" si="11"/>
        <v>234.35845324811473</v>
      </c>
      <c r="Z22" s="510">
        <f t="shared" si="12"/>
        <v>981.21197205920669</v>
      </c>
      <c r="AA22" s="511">
        <f t="shared" si="13"/>
        <v>930.00686890689315</v>
      </c>
      <c r="AE22" s="598" t="str">
        <f t="shared" si="3"/>
        <v>627317</v>
      </c>
      <c r="AF22" s="502">
        <v>129</v>
      </c>
      <c r="AG22" s="606">
        <v>20</v>
      </c>
      <c r="AH22" s="607">
        <v>627410</v>
      </c>
      <c r="AI22" s="608">
        <f t="shared" si="4"/>
        <v>627317</v>
      </c>
      <c r="AJ22" s="609">
        <f t="shared" si="5"/>
        <v>-93</v>
      </c>
      <c r="AL22" s="602">
        <f t="shared" si="6"/>
        <v>26780</v>
      </c>
      <c r="AM22" s="610">
        <f t="shared" si="6"/>
        <v>26775</v>
      </c>
      <c r="AN22" s="611">
        <f t="shared" si="7"/>
        <v>-5</v>
      </c>
      <c r="AO22" s="612">
        <f t="shared" si="8"/>
        <v>-1.8674136321195143E-4</v>
      </c>
    </row>
    <row r="23" spans="1:41" x14ac:dyDescent="0.2">
      <c r="A23" s="502">
        <v>129</v>
      </c>
      <c r="B23" s="503">
        <v>0.375</v>
      </c>
      <c r="C23" s="504">
        <v>2013</v>
      </c>
      <c r="D23" s="504">
        <v>3</v>
      </c>
      <c r="E23" s="504">
        <v>21</v>
      </c>
      <c r="F23" s="505">
        <v>654092</v>
      </c>
      <c r="G23" s="504">
        <v>0</v>
      </c>
      <c r="H23" s="505">
        <v>728627</v>
      </c>
      <c r="I23" s="504">
        <v>0</v>
      </c>
      <c r="J23" s="504">
        <v>0</v>
      </c>
      <c r="K23" s="504">
        <v>0</v>
      </c>
      <c r="L23" s="506">
        <v>317.54219999999998</v>
      </c>
      <c r="M23" s="505">
        <v>22.6</v>
      </c>
      <c r="N23" s="507">
        <v>0</v>
      </c>
      <c r="O23" s="508">
        <v>24783</v>
      </c>
      <c r="P23" s="493">
        <f t="shared" si="0"/>
        <v>24783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24783</v>
      </c>
      <c r="W23" s="515">
        <f t="shared" si="10"/>
        <v>875203.46661</v>
      </c>
      <c r="Y23" s="513">
        <f t="shared" si="11"/>
        <v>216.92270949945947</v>
      </c>
      <c r="Z23" s="510">
        <f t="shared" si="12"/>
        <v>908.21200013233693</v>
      </c>
      <c r="AA23" s="511">
        <f t="shared" si="13"/>
        <v>860.81644190922634</v>
      </c>
      <c r="AE23" s="598" t="str">
        <f t="shared" si="3"/>
        <v>654092</v>
      </c>
      <c r="AF23" s="502">
        <v>129</v>
      </c>
      <c r="AG23" s="606">
        <v>21</v>
      </c>
      <c r="AH23" s="607">
        <v>654190</v>
      </c>
      <c r="AI23" s="608">
        <f t="shared" si="4"/>
        <v>654092</v>
      </c>
      <c r="AJ23" s="609">
        <f t="shared" si="5"/>
        <v>-98</v>
      </c>
      <c r="AL23" s="602">
        <f t="shared" si="6"/>
        <v>24780</v>
      </c>
      <c r="AM23" s="610">
        <f t="shared" si="6"/>
        <v>24783</v>
      </c>
      <c r="AN23" s="611">
        <f t="shared" si="7"/>
        <v>3</v>
      </c>
      <c r="AO23" s="612">
        <f t="shared" si="8"/>
        <v>1.210507202517855E-4</v>
      </c>
    </row>
    <row r="24" spans="1:41" x14ac:dyDescent="0.2">
      <c r="A24" s="502">
        <v>129</v>
      </c>
      <c r="B24" s="503">
        <v>0.375</v>
      </c>
      <c r="C24" s="504">
        <v>2013</v>
      </c>
      <c r="D24" s="504">
        <v>3</v>
      </c>
      <c r="E24" s="504">
        <v>22</v>
      </c>
      <c r="F24" s="505">
        <v>678875</v>
      </c>
      <c r="G24" s="504">
        <v>0</v>
      </c>
      <c r="H24" s="505">
        <v>729706</v>
      </c>
      <c r="I24" s="504">
        <v>0</v>
      </c>
      <c r="J24" s="504">
        <v>0</v>
      </c>
      <c r="K24" s="504">
        <v>0</v>
      </c>
      <c r="L24" s="506">
        <v>316.66090000000003</v>
      </c>
      <c r="M24" s="505">
        <v>22.5</v>
      </c>
      <c r="N24" s="507">
        <v>0</v>
      </c>
      <c r="O24" s="508">
        <v>22154</v>
      </c>
      <c r="P24" s="493">
        <f t="shared" si="0"/>
        <v>22154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22154</v>
      </c>
      <c r="W24" s="515">
        <f t="shared" si="10"/>
        <v>782361.19918</v>
      </c>
      <c r="Y24" s="513">
        <f t="shared" si="11"/>
        <v>193.91137901993403</v>
      </c>
      <c r="Z24" s="510">
        <f t="shared" si="12"/>
        <v>811.8681616806598</v>
      </c>
      <c r="AA24" s="511">
        <f t="shared" si="13"/>
        <v>769.50036129834962</v>
      </c>
      <c r="AE24" s="598" t="str">
        <f t="shared" si="3"/>
        <v>678875</v>
      </c>
      <c r="AF24" s="502">
        <v>129</v>
      </c>
      <c r="AG24" s="606">
        <v>22</v>
      </c>
      <c r="AH24" s="607">
        <v>678970</v>
      </c>
      <c r="AI24" s="608">
        <f t="shared" si="4"/>
        <v>678875</v>
      </c>
      <c r="AJ24" s="609">
        <f t="shared" si="5"/>
        <v>-95</v>
      </c>
      <c r="AL24" s="602">
        <f t="shared" si="6"/>
        <v>22155</v>
      </c>
      <c r="AM24" s="610">
        <f t="shared" si="6"/>
        <v>22154</v>
      </c>
      <c r="AN24" s="611">
        <f t="shared" si="7"/>
        <v>-1</v>
      </c>
      <c r="AO24" s="612">
        <f t="shared" si="8"/>
        <v>-4.5138575426559538E-5</v>
      </c>
    </row>
    <row r="25" spans="1:41" x14ac:dyDescent="0.2">
      <c r="A25" s="502">
        <v>129</v>
      </c>
      <c r="B25" s="503">
        <v>0.375</v>
      </c>
      <c r="C25" s="504">
        <v>2013</v>
      </c>
      <c r="D25" s="504">
        <v>3</v>
      </c>
      <c r="E25" s="504">
        <v>23</v>
      </c>
      <c r="F25" s="505">
        <v>701029</v>
      </c>
      <c r="G25" s="504">
        <v>0</v>
      </c>
      <c r="H25" s="505">
        <v>730668</v>
      </c>
      <c r="I25" s="504">
        <v>0</v>
      </c>
      <c r="J25" s="504">
        <v>0</v>
      </c>
      <c r="K25" s="504">
        <v>0</v>
      </c>
      <c r="L25" s="506">
        <v>317.76310000000001</v>
      </c>
      <c r="M25" s="505">
        <v>22.4</v>
      </c>
      <c r="N25" s="507">
        <v>0</v>
      </c>
      <c r="O25" s="508">
        <v>7776</v>
      </c>
      <c r="P25" s="493">
        <f t="shared" si="0"/>
        <v>7776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7776</v>
      </c>
      <c r="W25" s="515">
        <f t="shared" si="10"/>
        <v>274606.87391999998</v>
      </c>
      <c r="Y25" s="513">
        <f t="shared" si="11"/>
        <v>68.062421380292818</v>
      </c>
      <c r="Z25" s="510">
        <f t="shared" si="12"/>
        <v>284.96374583501</v>
      </c>
      <c r="AA25" s="511">
        <f t="shared" si="13"/>
        <v>270.09275117161536</v>
      </c>
      <c r="AE25" s="598" t="str">
        <f t="shared" si="3"/>
        <v>701029</v>
      </c>
      <c r="AF25" s="502">
        <v>129</v>
      </c>
      <c r="AG25" s="606">
        <v>23</v>
      </c>
      <c r="AH25" s="607">
        <v>701125</v>
      </c>
      <c r="AI25" s="608">
        <f t="shared" si="4"/>
        <v>701029</v>
      </c>
      <c r="AJ25" s="609">
        <f t="shared" si="5"/>
        <v>-96</v>
      </c>
      <c r="AL25" s="602">
        <f t="shared" si="6"/>
        <v>7680</v>
      </c>
      <c r="AM25" s="610">
        <f t="shared" si="6"/>
        <v>7776</v>
      </c>
      <c r="AN25" s="611">
        <f t="shared" si="7"/>
        <v>96</v>
      </c>
      <c r="AO25" s="612">
        <f t="shared" si="8"/>
        <v>1.2345679012345678E-2</v>
      </c>
    </row>
    <row r="26" spans="1:41" x14ac:dyDescent="0.2">
      <c r="A26" s="502">
        <v>129</v>
      </c>
      <c r="B26" s="503">
        <v>0.375</v>
      </c>
      <c r="C26" s="504">
        <v>2013</v>
      </c>
      <c r="D26" s="504">
        <v>3</v>
      </c>
      <c r="E26" s="504">
        <v>24</v>
      </c>
      <c r="F26" s="505">
        <v>708805</v>
      </c>
      <c r="G26" s="504">
        <v>0</v>
      </c>
      <c r="H26" s="505">
        <v>731007</v>
      </c>
      <c r="I26" s="504">
        <v>0</v>
      </c>
      <c r="J26" s="504">
        <v>0</v>
      </c>
      <c r="K26" s="504">
        <v>0</v>
      </c>
      <c r="L26" s="506">
        <v>323.03390000000002</v>
      </c>
      <c r="M26" s="505">
        <v>18.8</v>
      </c>
      <c r="N26" s="507">
        <v>0</v>
      </c>
      <c r="O26" s="508">
        <v>4904</v>
      </c>
      <c r="P26" s="493">
        <f t="shared" si="0"/>
        <v>4904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4904</v>
      </c>
      <c r="W26" s="515">
        <f t="shared" si="10"/>
        <v>173183.14168</v>
      </c>
      <c r="Y26" s="513">
        <f t="shared" si="11"/>
        <v>42.924140232633228</v>
      </c>
      <c r="Z26" s="510">
        <f t="shared" si="12"/>
        <v>179.71479032598879</v>
      </c>
      <c r="AA26" s="511">
        <f t="shared" si="13"/>
        <v>170.33627208662571</v>
      </c>
      <c r="AE26" s="598" t="str">
        <f t="shared" si="3"/>
        <v>708805</v>
      </c>
      <c r="AF26" s="502">
        <v>129</v>
      </c>
      <c r="AG26" s="606">
        <v>24</v>
      </c>
      <c r="AH26" s="607">
        <v>708805</v>
      </c>
      <c r="AI26" s="608">
        <f t="shared" si="4"/>
        <v>708805</v>
      </c>
      <c r="AJ26" s="609">
        <f t="shared" si="5"/>
        <v>0</v>
      </c>
      <c r="AL26" s="602">
        <f t="shared" si="6"/>
        <v>4999</v>
      </c>
      <c r="AM26" s="610">
        <f t="shared" si="6"/>
        <v>4904</v>
      </c>
      <c r="AN26" s="611">
        <f t="shared" si="7"/>
        <v>-95</v>
      </c>
      <c r="AO26" s="612">
        <f t="shared" si="8"/>
        <v>-1.9371941272430668E-2</v>
      </c>
    </row>
    <row r="27" spans="1:41" x14ac:dyDescent="0.2">
      <c r="A27" s="502">
        <v>129</v>
      </c>
      <c r="B27" s="503">
        <v>0.375</v>
      </c>
      <c r="C27" s="504">
        <v>2013</v>
      </c>
      <c r="D27" s="504">
        <v>3</v>
      </c>
      <c r="E27" s="504">
        <v>25</v>
      </c>
      <c r="F27" s="505">
        <v>713709</v>
      </c>
      <c r="G27" s="504">
        <v>0</v>
      </c>
      <c r="H27" s="505">
        <v>731215</v>
      </c>
      <c r="I27" s="504">
        <v>0</v>
      </c>
      <c r="J27" s="504">
        <v>0</v>
      </c>
      <c r="K27" s="504">
        <v>0</v>
      </c>
      <c r="L27" s="506">
        <v>323.90030000000002</v>
      </c>
      <c r="M27" s="505">
        <v>24.1</v>
      </c>
      <c r="N27" s="507">
        <v>0</v>
      </c>
      <c r="O27" s="508">
        <v>27160</v>
      </c>
      <c r="P27" s="493">
        <f t="shared" si="0"/>
        <v>27160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27160</v>
      </c>
      <c r="W27" s="515">
        <f t="shared" si="10"/>
        <v>959146.43720000004</v>
      </c>
      <c r="Y27" s="513">
        <f t="shared" si="11"/>
        <v>237.72831336017913</v>
      </c>
      <c r="Z27" s="510">
        <f t="shared" si="12"/>
        <v>995.32090237639795</v>
      </c>
      <c r="AA27" s="511">
        <f t="shared" si="13"/>
        <v>943.37951669509687</v>
      </c>
      <c r="AE27" s="598" t="str">
        <f t="shared" si="3"/>
        <v>713709</v>
      </c>
      <c r="AF27" s="502">
        <v>129</v>
      </c>
      <c r="AG27" s="606">
        <v>25</v>
      </c>
      <c r="AH27" s="607">
        <v>713804</v>
      </c>
      <c r="AI27" s="608">
        <f t="shared" si="4"/>
        <v>713709</v>
      </c>
      <c r="AJ27" s="609">
        <f t="shared" si="5"/>
        <v>-95</v>
      </c>
      <c r="AL27" s="602">
        <f t="shared" si="6"/>
        <v>27181</v>
      </c>
      <c r="AM27" s="610">
        <f t="shared" si="6"/>
        <v>27160</v>
      </c>
      <c r="AN27" s="611">
        <f t="shared" si="7"/>
        <v>-21</v>
      </c>
      <c r="AO27" s="612">
        <f t="shared" si="8"/>
        <v>-7.7319587628865976E-4</v>
      </c>
    </row>
    <row r="28" spans="1:41" x14ac:dyDescent="0.2">
      <c r="A28" s="502">
        <v>129</v>
      </c>
      <c r="B28" s="503">
        <v>0.375</v>
      </c>
      <c r="C28" s="504">
        <v>2013</v>
      </c>
      <c r="D28" s="504">
        <v>3</v>
      </c>
      <c r="E28" s="504">
        <v>26</v>
      </c>
      <c r="F28" s="505">
        <v>740869</v>
      </c>
      <c r="G28" s="504">
        <v>0</v>
      </c>
      <c r="H28" s="505">
        <v>732395</v>
      </c>
      <c r="I28" s="504">
        <v>0</v>
      </c>
      <c r="J28" s="504">
        <v>0</v>
      </c>
      <c r="K28" s="504">
        <v>0</v>
      </c>
      <c r="L28" s="506">
        <v>316.72390000000001</v>
      </c>
      <c r="M28" s="505">
        <v>22.6</v>
      </c>
      <c r="N28" s="507">
        <v>0</v>
      </c>
      <c r="O28" s="508">
        <v>27490</v>
      </c>
      <c r="P28" s="493">
        <f t="shared" si="0"/>
        <v>27490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27490</v>
      </c>
      <c r="W28" s="515">
        <f t="shared" si="10"/>
        <v>970800.27830000001</v>
      </c>
      <c r="Y28" s="513">
        <f t="shared" si="11"/>
        <v>240.61676488480575</v>
      </c>
      <c r="Z28" s="510">
        <f t="shared" si="12"/>
        <v>1007.4142712197048</v>
      </c>
      <c r="AA28" s="511">
        <f t="shared" si="13"/>
        <v>954.84178622784282</v>
      </c>
      <c r="AE28" s="598" t="str">
        <f t="shared" si="3"/>
        <v>740869</v>
      </c>
      <c r="AF28" s="502">
        <v>129</v>
      </c>
      <c r="AG28" s="606">
        <v>26</v>
      </c>
      <c r="AH28" s="607">
        <v>740985</v>
      </c>
      <c r="AI28" s="608">
        <f t="shared" si="4"/>
        <v>740869</v>
      </c>
      <c r="AJ28" s="609">
        <f t="shared" si="5"/>
        <v>-116</v>
      </c>
      <c r="AL28" s="602">
        <f t="shared" si="6"/>
        <v>27490</v>
      </c>
      <c r="AM28" s="610">
        <f t="shared" si="6"/>
        <v>27490</v>
      </c>
      <c r="AN28" s="611">
        <f t="shared" si="7"/>
        <v>0</v>
      </c>
      <c r="AO28" s="612">
        <f t="shared" si="8"/>
        <v>0</v>
      </c>
    </row>
    <row r="29" spans="1:41" x14ac:dyDescent="0.2">
      <c r="A29" s="502">
        <v>129</v>
      </c>
      <c r="B29" s="503">
        <v>0.375</v>
      </c>
      <c r="C29" s="504">
        <v>2013</v>
      </c>
      <c r="D29" s="504">
        <v>3</v>
      </c>
      <c r="E29" s="504">
        <v>27</v>
      </c>
      <c r="F29" s="505">
        <v>768359</v>
      </c>
      <c r="G29" s="504">
        <v>0</v>
      </c>
      <c r="H29" s="505">
        <v>733586</v>
      </c>
      <c r="I29" s="504">
        <v>0</v>
      </c>
      <c r="J29" s="504">
        <v>0</v>
      </c>
      <c r="K29" s="504">
        <v>0</v>
      </c>
      <c r="L29" s="506">
        <v>316.75049999999999</v>
      </c>
      <c r="M29" s="505">
        <v>21.9</v>
      </c>
      <c r="N29" s="507">
        <v>0</v>
      </c>
      <c r="O29" s="508">
        <v>22882</v>
      </c>
      <c r="P29" s="493">
        <f t="shared" si="0"/>
        <v>22882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22882</v>
      </c>
      <c r="W29" s="515">
        <f t="shared" si="10"/>
        <v>808070.27893999999</v>
      </c>
      <c r="Y29" s="513">
        <f t="shared" si="11"/>
        <v>200.28347814092854</v>
      </c>
      <c r="Z29" s="510">
        <f t="shared" si="12"/>
        <v>838.54686628043964</v>
      </c>
      <c r="AA29" s="511">
        <f t="shared" si="13"/>
        <v>794.78682257058927</v>
      </c>
      <c r="AE29" s="598" t="str">
        <f t="shared" si="3"/>
        <v>768359</v>
      </c>
      <c r="AF29" s="502">
        <v>129</v>
      </c>
      <c r="AG29" s="606">
        <v>27</v>
      </c>
      <c r="AH29" s="607">
        <v>768475</v>
      </c>
      <c r="AI29" s="608">
        <f t="shared" si="4"/>
        <v>768359</v>
      </c>
      <c r="AJ29" s="609">
        <f t="shared" si="5"/>
        <v>-116</v>
      </c>
      <c r="AL29" s="602">
        <f t="shared" si="6"/>
        <v>22765</v>
      </c>
      <c r="AM29" s="610">
        <f t="shared" si="6"/>
        <v>22882</v>
      </c>
      <c r="AN29" s="611">
        <f t="shared" si="7"/>
        <v>117</v>
      </c>
      <c r="AO29" s="612">
        <f t="shared" si="8"/>
        <v>5.1131894065204091E-3</v>
      </c>
    </row>
    <row r="30" spans="1:41" x14ac:dyDescent="0.2">
      <c r="A30" s="502">
        <v>129</v>
      </c>
      <c r="B30" s="503">
        <v>0.375</v>
      </c>
      <c r="C30" s="504">
        <v>2013</v>
      </c>
      <c r="D30" s="504">
        <v>3</v>
      </c>
      <c r="E30" s="504">
        <v>28</v>
      </c>
      <c r="F30" s="505">
        <v>791241</v>
      </c>
      <c r="G30" s="504">
        <v>0</v>
      </c>
      <c r="H30" s="505">
        <v>734572</v>
      </c>
      <c r="I30" s="504">
        <v>0</v>
      </c>
      <c r="J30" s="504">
        <v>0</v>
      </c>
      <c r="K30" s="504">
        <v>0</v>
      </c>
      <c r="L30" s="506">
        <v>320.71339999999998</v>
      </c>
      <c r="M30" s="505">
        <v>22.3</v>
      </c>
      <c r="N30" s="507">
        <v>0</v>
      </c>
      <c r="O30" s="508">
        <v>2400</v>
      </c>
      <c r="P30" s="493">
        <f t="shared" si="0"/>
        <v>2400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2400</v>
      </c>
      <c r="W30" s="515">
        <f t="shared" si="10"/>
        <v>84755.207999999999</v>
      </c>
      <c r="Y30" s="513">
        <f t="shared" si="11"/>
        <v>21.006920179102721</v>
      </c>
      <c r="Z30" s="510">
        <f t="shared" si="12"/>
        <v>87.951773405867272</v>
      </c>
      <c r="AA30" s="511">
        <f t="shared" si="13"/>
        <v>83.361960238152889</v>
      </c>
      <c r="AE30" s="598" t="str">
        <f t="shared" si="3"/>
        <v>791241</v>
      </c>
      <c r="AF30" s="502">
        <v>129</v>
      </c>
      <c r="AG30" s="606">
        <v>28</v>
      </c>
      <c r="AH30" s="607">
        <v>791240</v>
      </c>
      <c r="AI30" s="608">
        <f t="shared" si="4"/>
        <v>791241</v>
      </c>
      <c r="AJ30" s="609">
        <f t="shared" si="5"/>
        <v>1</v>
      </c>
      <c r="AL30" s="602">
        <f t="shared" si="6"/>
        <v>2401</v>
      </c>
      <c r="AM30" s="610">
        <f t="shared" si="6"/>
        <v>2400</v>
      </c>
      <c r="AN30" s="611">
        <f t="shared" si="7"/>
        <v>-1</v>
      </c>
      <c r="AO30" s="612">
        <f t="shared" si="8"/>
        <v>-4.1666666666666669E-4</v>
      </c>
    </row>
    <row r="31" spans="1:41" x14ac:dyDescent="0.2">
      <c r="A31" s="502">
        <v>129</v>
      </c>
      <c r="B31" s="503">
        <v>0.375</v>
      </c>
      <c r="C31" s="504">
        <v>2013</v>
      </c>
      <c r="D31" s="504">
        <v>3</v>
      </c>
      <c r="E31" s="504">
        <v>29</v>
      </c>
      <c r="F31" s="505">
        <v>793641</v>
      </c>
      <c r="G31" s="504">
        <v>0</v>
      </c>
      <c r="H31" s="505">
        <v>734674</v>
      </c>
      <c r="I31" s="504">
        <v>0</v>
      </c>
      <c r="J31" s="504">
        <v>0</v>
      </c>
      <c r="K31" s="504">
        <v>0</v>
      </c>
      <c r="L31" s="506">
        <v>325.76010000000002</v>
      </c>
      <c r="M31" s="505">
        <v>21</v>
      </c>
      <c r="N31" s="507">
        <v>0</v>
      </c>
      <c r="O31" s="508">
        <v>2115</v>
      </c>
      <c r="P31" s="493">
        <f t="shared" si="0"/>
        <v>2115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2115</v>
      </c>
      <c r="W31" s="515">
        <f t="shared" si="10"/>
        <v>74690.527050000004</v>
      </c>
      <c r="Y31" s="513">
        <f t="shared" si="11"/>
        <v>18.512348407834274</v>
      </c>
      <c r="Z31" s="510">
        <f t="shared" si="12"/>
        <v>77.507500313920531</v>
      </c>
      <c r="AA31" s="511">
        <f t="shared" si="13"/>
        <v>73.462727459872227</v>
      </c>
      <c r="AE31" s="598" t="str">
        <f t="shared" si="3"/>
        <v>793641</v>
      </c>
      <c r="AF31" s="502">
        <v>129</v>
      </c>
      <c r="AG31" s="606">
        <v>29</v>
      </c>
      <c r="AH31" s="607">
        <v>793641</v>
      </c>
      <c r="AI31" s="608">
        <f t="shared" si="4"/>
        <v>793641</v>
      </c>
      <c r="AJ31" s="609">
        <f t="shared" si="5"/>
        <v>0</v>
      </c>
      <c r="AL31" s="602">
        <f t="shared" si="6"/>
        <v>2115</v>
      </c>
      <c r="AM31" s="610">
        <f t="shared" si="6"/>
        <v>2115</v>
      </c>
      <c r="AN31" s="611">
        <f t="shared" si="7"/>
        <v>0</v>
      </c>
      <c r="AO31" s="612">
        <f t="shared" si="8"/>
        <v>0</v>
      </c>
    </row>
    <row r="32" spans="1:41" x14ac:dyDescent="0.2">
      <c r="A32" s="502">
        <v>129</v>
      </c>
      <c r="B32" s="503">
        <v>0.375</v>
      </c>
      <c r="C32" s="504">
        <v>2013</v>
      </c>
      <c r="D32" s="504">
        <v>3</v>
      </c>
      <c r="E32" s="504">
        <v>30</v>
      </c>
      <c r="F32" s="505">
        <v>795756</v>
      </c>
      <c r="G32" s="504">
        <v>0</v>
      </c>
      <c r="H32" s="505">
        <v>734764</v>
      </c>
      <c r="I32" s="504">
        <v>0</v>
      </c>
      <c r="J32" s="504">
        <v>0</v>
      </c>
      <c r="K32" s="504">
        <v>0</v>
      </c>
      <c r="L32" s="506">
        <v>325.60340000000002</v>
      </c>
      <c r="M32" s="505">
        <v>22.1</v>
      </c>
      <c r="N32" s="507">
        <v>0</v>
      </c>
      <c r="O32" s="508">
        <v>1892</v>
      </c>
      <c r="P32" s="493">
        <f t="shared" si="0"/>
        <v>1892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1892</v>
      </c>
      <c r="W32" s="515">
        <f t="shared" si="10"/>
        <v>66815.355639999994</v>
      </c>
      <c r="Y32" s="513">
        <f t="shared" si="11"/>
        <v>16.560455407859312</v>
      </c>
      <c r="Z32" s="510">
        <f t="shared" si="12"/>
        <v>69.335314701625364</v>
      </c>
      <c r="AA32" s="511">
        <f t="shared" si="13"/>
        <v>65.717011987743859</v>
      </c>
      <c r="AE32" s="598" t="str">
        <f t="shared" si="3"/>
        <v>795756</v>
      </c>
      <c r="AF32" s="502">
        <v>129</v>
      </c>
      <c r="AG32" s="606">
        <v>30</v>
      </c>
      <c r="AH32" s="607">
        <v>795756</v>
      </c>
      <c r="AI32" s="608">
        <f t="shared" si="4"/>
        <v>795756</v>
      </c>
      <c r="AJ32" s="609">
        <f t="shared" si="5"/>
        <v>0</v>
      </c>
      <c r="AL32" s="602">
        <f t="shared" si="6"/>
        <v>1892</v>
      </c>
      <c r="AM32" s="610">
        <f t="shared" si="6"/>
        <v>1892</v>
      </c>
      <c r="AN32" s="611">
        <f t="shared" si="7"/>
        <v>0</v>
      </c>
      <c r="AO32" s="612">
        <f t="shared" si="8"/>
        <v>0</v>
      </c>
    </row>
    <row r="33" spans="1:41" ht="13.5" thickBot="1" x14ac:dyDescent="0.25">
      <c r="A33" s="502">
        <v>129</v>
      </c>
      <c r="B33" s="503">
        <v>0.375</v>
      </c>
      <c r="C33" s="504">
        <v>2013</v>
      </c>
      <c r="D33" s="504">
        <v>3</v>
      </c>
      <c r="E33" s="504">
        <v>31</v>
      </c>
      <c r="F33" s="505">
        <v>797648</v>
      </c>
      <c r="G33" s="504">
        <v>0</v>
      </c>
      <c r="H33" s="505">
        <v>734844</v>
      </c>
      <c r="I33" s="504">
        <v>0</v>
      </c>
      <c r="J33" s="504">
        <v>0</v>
      </c>
      <c r="K33" s="504">
        <v>0</v>
      </c>
      <c r="L33" s="506">
        <v>325.50619999999998</v>
      </c>
      <c r="M33" s="505">
        <v>21.7</v>
      </c>
      <c r="N33" s="507">
        <v>0</v>
      </c>
      <c r="O33" s="508">
        <v>6300</v>
      </c>
      <c r="P33" s="493">
        <f t="shared" si="0"/>
        <v>6300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6300</v>
      </c>
      <c r="W33" s="519">
        <f t="shared" si="10"/>
        <v>222482.421</v>
      </c>
      <c r="Y33" s="513">
        <f t="shared" si="11"/>
        <v>55.143165470144645</v>
      </c>
      <c r="Z33" s="510">
        <f t="shared" si="12"/>
        <v>230.87340519040157</v>
      </c>
      <c r="AA33" s="511">
        <f t="shared" si="13"/>
        <v>218.82514562515135</v>
      </c>
      <c r="AE33" s="598" t="str">
        <f t="shared" si="3"/>
        <v>797648</v>
      </c>
      <c r="AF33" s="502">
        <v>129</v>
      </c>
      <c r="AG33" s="606">
        <v>31</v>
      </c>
      <c r="AH33" s="607">
        <v>797648</v>
      </c>
      <c r="AI33" s="608">
        <f t="shared" si="4"/>
        <v>797648</v>
      </c>
      <c r="AJ33" s="609">
        <f t="shared" si="5"/>
        <v>0</v>
      </c>
      <c r="AL33" s="602">
        <f t="shared" si="6"/>
        <v>6434</v>
      </c>
      <c r="AM33" s="613">
        <f t="shared" si="6"/>
        <v>6300</v>
      </c>
      <c r="AN33" s="611">
        <f t="shared" si="7"/>
        <v>-134</v>
      </c>
      <c r="AO33" s="612">
        <f t="shared" si="8"/>
        <v>-2.1269841269841269E-2</v>
      </c>
    </row>
    <row r="34" spans="1:41" ht="13.5" thickBot="1" x14ac:dyDescent="0.25">
      <c r="A34" s="148">
        <v>129</v>
      </c>
      <c r="B34" s="520">
        <v>0.375</v>
      </c>
      <c r="C34" s="146">
        <v>2013</v>
      </c>
      <c r="D34" s="146">
        <v>4</v>
      </c>
      <c r="E34" s="146">
        <v>1</v>
      </c>
      <c r="F34" s="521">
        <v>803948</v>
      </c>
      <c r="G34" s="146">
        <v>0</v>
      </c>
      <c r="H34" s="521">
        <v>735111</v>
      </c>
      <c r="I34" s="146">
        <v>0</v>
      </c>
      <c r="J34" s="146">
        <v>0</v>
      </c>
      <c r="K34" s="146">
        <v>0</v>
      </c>
      <c r="L34" s="522">
        <v>324.14370000000002</v>
      </c>
      <c r="M34" s="521">
        <v>26.5</v>
      </c>
      <c r="N34" s="523">
        <v>0</v>
      </c>
      <c r="O34" s="524">
        <v>20078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803948</v>
      </c>
      <c r="AF34" s="148">
        <v>129</v>
      </c>
      <c r="AG34" s="614">
        <v>1</v>
      </c>
      <c r="AH34" s="615">
        <v>804082</v>
      </c>
      <c r="AI34" s="616">
        <f t="shared" si="4"/>
        <v>803948</v>
      </c>
      <c r="AJ34" s="617">
        <f t="shared" si="5"/>
        <v>-134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327.49639999999999</v>
      </c>
      <c r="M36" s="535">
        <f>MAX(M3:M34)</f>
        <v>26.5</v>
      </c>
      <c r="N36" s="533" t="s">
        <v>68</v>
      </c>
      <c r="O36" s="535">
        <f>SUM(O3:O33)</f>
        <v>512203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512203</v>
      </c>
      <c r="W36" s="539">
        <f>SUM(W3:W33)</f>
        <v>18088279.91801</v>
      </c>
      <c r="Y36" s="540">
        <f>SUM(Y3:Y33)</f>
        <v>4461.1531629851142</v>
      </c>
      <c r="Z36" s="541">
        <f>SUM(Z3:Z33)</f>
        <v>18677.956062786077</v>
      </c>
      <c r="AA36" s="542">
        <f>SUM(AA3:AA33)</f>
        <v>17703.236334425859</v>
      </c>
      <c r="AF36" s="621" t="s">
        <v>208</v>
      </c>
      <c r="AG36" s="534">
        <f>COUNT(AG3:AG34)</f>
        <v>32</v>
      </c>
      <c r="AJ36" s="622">
        <f>SUM(AJ3:AJ33)</f>
        <v>-1467</v>
      </c>
      <c r="AK36" s="623" t="s">
        <v>176</v>
      </c>
      <c r="AL36" s="624"/>
      <c r="AM36" s="624"/>
      <c r="AN36" s="622">
        <f>SUM(AN3:AN33)</f>
        <v>-134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312.81902187500003</v>
      </c>
      <c r="M37" s="543">
        <f>AVERAGE(M3:M34)</f>
        <v>21.318750000000001</v>
      </c>
      <c r="N37" s="533" t="s">
        <v>172</v>
      </c>
      <c r="O37" s="544">
        <f>O36*35.31467</f>
        <v>18088279.91801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0</v>
      </c>
      <c r="AN37" s="627">
        <f>IFERROR(AN36/SUM(AM3:AM33),"")</f>
        <v>-2.616150237308255E-4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88.9375</v>
      </c>
      <c r="M38" s="544">
        <f>MIN(M3:M34)</f>
        <v>12.1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344.10092406250004</v>
      </c>
      <c r="M44" s="551">
        <f>M37*(1+$L$43)</f>
        <v>23.450625000000002</v>
      </c>
    </row>
    <row r="45" spans="1:41" x14ac:dyDescent="0.2">
      <c r="K45" s="550" t="s">
        <v>186</v>
      </c>
      <c r="L45" s="551">
        <f>L37*(1-$L$43)</f>
        <v>281.53711968750002</v>
      </c>
      <c r="M45" s="551">
        <f>M37*(1-$L$43)</f>
        <v>19.186875000000001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487" priority="47" stopIfTrue="1" operator="lessThan">
      <formula>$L$45</formula>
    </cfRule>
    <cfRule type="cellIs" dxfId="1486" priority="48" stopIfTrue="1" operator="greaterThan">
      <formula>$L$44</formula>
    </cfRule>
  </conditionalFormatting>
  <conditionalFormatting sqref="M3:M34">
    <cfRule type="cellIs" dxfId="1485" priority="45" stopIfTrue="1" operator="lessThan">
      <formula>$M$45</formula>
    </cfRule>
    <cfRule type="cellIs" dxfId="1484" priority="46" stopIfTrue="1" operator="greaterThan">
      <formula>$M$44</formula>
    </cfRule>
  </conditionalFormatting>
  <conditionalFormatting sqref="O3:O34">
    <cfRule type="cellIs" dxfId="1483" priority="44" stopIfTrue="1" operator="lessThan">
      <formula>0</formula>
    </cfRule>
  </conditionalFormatting>
  <conditionalFormatting sqref="O3:O33">
    <cfRule type="cellIs" dxfId="1482" priority="43" stopIfTrue="1" operator="lessThan">
      <formula>0</formula>
    </cfRule>
  </conditionalFormatting>
  <conditionalFormatting sqref="O3">
    <cfRule type="cellIs" dxfId="1481" priority="42" stopIfTrue="1" operator="notEqual">
      <formula>$P$3</formula>
    </cfRule>
  </conditionalFormatting>
  <conditionalFormatting sqref="O4">
    <cfRule type="cellIs" dxfId="1480" priority="41" stopIfTrue="1" operator="notEqual">
      <formula>P$4</formula>
    </cfRule>
  </conditionalFormatting>
  <conditionalFormatting sqref="O5">
    <cfRule type="cellIs" dxfId="1479" priority="40" stopIfTrue="1" operator="notEqual">
      <formula>$P$5</formula>
    </cfRule>
  </conditionalFormatting>
  <conditionalFormatting sqref="O6">
    <cfRule type="cellIs" dxfId="1478" priority="39" stopIfTrue="1" operator="notEqual">
      <formula>$P$6</formula>
    </cfRule>
  </conditionalFormatting>
  <conditionalFormatting sqref="O7">
    <cfRule type="cellIs" dxfId="1477" priority="38" stopIfTrue="1" operator="notEqual">
      <formula>$P$7</formula>
    </cfRule>
  </conditionalFormatting>
  <conditionalFormatting sqref="O8">
    <cfRule type="cellIs" dxfId="1476" priority="37" stopIfTrue="1" operator="notEqual">
      <formula>$P$8</formula>
    </cfRule>
  </conditionalFormatting>
  <conditionalFormatting sqref="O9">
    <cfRule type="cellIs" dxfId="1475" priority="36" stopIfTrue="1" operator="notEqual">
      <formula>$P$9</formula>
    </cfRule>
  </conditionalFormatting>
  <conditionalFormatting sqref="O10">
    <cfRule type="cellIs" dxfId="1474" priority="34" stopIfTrue="1" operator="notEqual">
      <formula>$P$10</formula>
    </cfRule>
    <cfRule type="cellIs" dxfId="1473" priority="35" stopIfTrue="1" operator="greaterThan">
      <formula>$P$10</formula>
    </cfRule>
  </conditionalFormatting>
  <conditionalFormatting sqref="O11">
    <cfRule type="cellIs" dxfId="1472" priority="32" stopIfTrue="1" operator="notEqual">
      <formula>$P$11</formula>
    </cfRule>
    <cfRule type="cellIs" dxfId="1471" priority="33" stopIfTrue="1" operator="greaterThan">
      <formula>$P$11</formula>
    </cfRule>
  </conditionalFormatting>
  <conditionalFormatting sqref="O12">
    <cfRule type="cellIs" dxfId="1470" priority="31" stopIfTrue="1" operator="notEqual">
      <formula>$P$12</formula>
    </cfRule>
  </conditionalFormatting>
  <conditionalFormatting sqref="O14">
    <cfRule type="cellIs" dxfId="1469" priority="30" stopIfTrue="1" operator="notEqual">
      <formula>$P$14</formula>
    </cfRule>
  </conditionalFormatting>
  <conditionalFormatting sqref="O15">
    <cfRule type="cellIs" dxfId="1468" priority="29" stopIfTrue="1" operator="notEqual">
      <formula>$P$15</formula>
    </cfRule>
  </conditionalFormatting>
  <conditionalFormatting sqref="O16">
    <cfRule type="cellIs" dxfId="1467" priority="28" stopIfTrue="1" operator="notEqual">
      <formula>$P$16</formula>
    </cfRule>
  </conditionalFormatting>
  <conditionalFormatting sqref="O17">
    <cfRule type="cellIs" dxfId="1466" priority="27" stopIfTrue="1" operator="notEqual">
      <formula>$P$17</formula>
    </cfRule>
  </conditionalFormatting>
  <conditionalFormatting sqref="O18">
    <cfRule type="cellIs" dxfId="1465" priority="26" stopIfTrue="1" operator="notEqual">
      <formula>$P$18</formula>
    </cfRule>
  </conditionalFormatting>
  <conditionalFormatting sqref="O19">
    <cfRule type="cellIs" dxfId="1464" priority="24" stopIfTrue="1" operator="notEqual">
      <formula>$P$19</formula>
    </cfRule>
    <cfRule type="cellIs" dxfId="1463" priority="25" stopIfTrue="1" operator="greaterThan">
      <formula>$P$19</formula>
    </cfRule>
  </conditionalFormatting>
  <conditionalFormatting sqref="O20">
    <cfRule type="cellIs" dxfId="1462" priority="22" stopIfTrue="1" operator="notEqual">
      <formula>$P$20</formula>
    </cfRule>
    <cfRule type="cellIs" dxfId="1461" priority="23" stopIfTrue="1" operator="greaterThan">
      <formula>$P$20</formula>
    </cfRule>
  </conditionalFormatting>
  <conditionalFormatting sqref="O21">
    <cfRule type="cellIs" dxfId="1460" priority="21" stopIfTrue="1" operator="notEqual">
      <formula>$P$21</formula>
    </cfRule>
  </conditionalFormatting>
  <conditionalFormatting sqref="O22">
    <cfRule type="cellIs" dxfId="1459" priority="20" stopIfTrue="1" operator="notEqual">
      <formula>$P$22</formula>
    </cfRule>
  </conditionalFormatting>
  <conditionalFormatting sqref="O23">
    <cfRule type="cellIs" dxfId="1458" priority="19" stopIfTrue="1" operator="notEqual">
      <formula>$P$23</formula>
    </cfRule>
  </conditionalFormatting>
  <conditionalFormatting sqref="O24">
    <cfRule type="cellIs" dxfId="1457" priority="17" stopIfTrue="1" operator="notEqual">
      <formula>$P$24</formula>
    </cfRule>
    <cfRule type="cellIs" dxfId="1456" priority="18" stopIfTrue="1" operator="greaterThan">
      <formula>$P$24</formula>
    </cfRule>
  </conditionalFormatting>
  <conditionalFormatting sqref="O25">
    <cfRule type="cellIs" dxfId="1455" priority="15" stopIfTrue="1" operator="notEqual">
      <formula>$P$25</formula>
    </cfRule>
    <cfRule type="cellIs" dxfId="1454" priority="16" stopIfTrue="1" operator="greaterThan">
      <formula>$P$25</formula>
    </cfRule>
  </conditionalFormatting>
  <conditionalFormatting sqref="O26">
    <cfRule type="cellIs" dxfId="1453" priority="14" stopIfTrue="1" operator="notEqual">
      <formula>$P$26</formula>
    </cfRule>
  </conditionalFormatting>
  <conditionalFormatting sqref="O27">
    <cfRule type="cellIs" dxfId="1452" priority="13" stopIfTrue="1" operator="notEqual">
      <formula>$P$27</formula>
    </cfRule>
  </conditionalFormatting>
  <conditionalFormatting sqref="O28">
    <cfRule type="cellIs" dxfId="1451" priority="12" stopIfTrue="1" operator="notEqual">
      <formula>$P$28</formula>
    </cfRule>
  </conditionalFormatting>
  <conditionalFormatting sqref="O29">
    <cfRule type="cellIs" dxfId="1450" priority="11" stopIfTrue="1" operator="notEqual">
      <formula>$P$29</formula>
    </cfRule>
  </conditionalFormatting>
  <conditionalFormatting sqref="O30">
    <cfRule type="cellIs" dxfId="1449" priority="10" stopIfTrue="1" operator="notEqual">
      <formula>$P$30</formula>
    </cfRule>
  </conditionalFormatting>
  <conditionalFormatting sqref="O31">
    <cfRule type="cellIs" dxfId="1448" priority="8" stopIfTrue="1" operator="notEqual">
      <formula>$P$31</formula>
    </cfRule>
    <cfRule type="cellIs" dxfId="1447" priority="9" stopIfTrue="1" operator="greaterThan">
      <formula>$P$31</formula>
    </cfRule>
  </conditionalFormatting>
  <conditionalFormatting sqref="O32">
    <cfRule type="cellIs" dxfId="1446" priority="6" stopIfTrue="1" operator="notEqual">
      <formula>$P$32</formula>
    </cfRule>
    <cfRule type="cellIs" dxfId="1445" priority="7" stopIfTrue="1" operator="greaterThan">
      <formula>$P$32</formula>
    </cfRule>
  </conditionalFormatting>
  <conditionalFormatting sqref="O33">
    <cfRule type="cellIs" dxfId="1444" priority="5" stopIfTrue="1" operator="notEqual">
      <formula>$P$33</formula>
    </cfRule>
  </conditionalFormatting>
  <conditionalFormatting sqref="O13">
    <cfRule type="cellIs" dxfId="1443" priority="4" stopIfTrue="1" operator="notEqual">
      <formula>$P$13</formula>
    </cfRule>
  </conditionalFormatting>
  <conditionalFormatting sqref="AG3:AG34">
    <cfRule type="cellIs" dxfId="1442" priority="3" stopIfTrue="1" operator="notEqual">
      <formula>E3</formula>
    </cfRule>
  </conditionalFormatting>
  <conditionalFormatting sqref="AH3:AH34">
    <cfRule type="cellIs" dxfId="1441" priority="2" stopIfTrue="1" operator="notBetween">
      <formula>AI3+$AG$40</formula>
      <formula>AI3-$AG$40</formula>
    </cfRule>
  </conditionalFormatting>
  <conditionalFormatting sqref="AL3:AL33">
    <cfRule type="cellIs" dxfId="14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107</v>
      </c>
      <c r="B3" s="487">
        <v>0.375</v>
      </c>
      <c r="C3" s="488">
        <v>2013</v>
      </c>
      <c r="D3" s="488">
        <v>3</v>
      </c>
      <c r="E3" s="488">
        <v>1</v>
      </c>
      <c r="F3" s="489">
        <v>48102</v>
      </c>
      <c r="G3" s="488">
        <v>0</v>
      </c>
      <c r="H3" s="489">
        <v>694290</v>
      </c>
      <c r="I3" s="488">
        <v>0</v>
      </c>
      <c r="J3" s="488">
        <v>0</v>
      </c>
      <c r="K3" s="488">
        <v>0</v>
      </c>
      <c r="L3" s="490">
        <v>323.97919999999999</v>
      </c>
      <c r="M3" s="489">
        <v>21.6</v>
      </c>
      <c r="N3" s="491">
        <v>0</v>
      </c>
      <c r="O3" s="492">
        <v>1492</v>
      </c>
      <c r="P3" s="493">
        <f>F4-F3</f>
        <v>1492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1492</v>
      </c>
      <c r="W3" s="498">
        <f>V3*35.31467</f>
        <v>52689.487639999999</v>
      </c>
      <c r="X3" s="497"/>
      <c r="Y3" s="499">
        <f>V3*R3/1000000</f>
        <v>12.86808106353719</v>
      </c>
      <c r="Z3" s="500">
        <f>S3*V3/1000000</f>
        <v>53.876081796817495</v>
      </c>
      <c r="AA3" s="501">
        <f>W3*T3/1000000</f>
        <v>51.064527918139333</v>
      </c>
      <c r="AE3" s="598" t="str">
        <f>RIGHT(F3,6)</f>
        <v>48102</v>
      </c>
      <c r="AF3" s="486">
        <v>107</v>
      </c>
      <c r="AG3" s="491">
        <v>1</v>
      </c>
      <c r="AH3" s="599">
        <v>48102</v>
      </c>
      <c r="AI3" s="600">
        <f>IFERROR(AE3*1,0)</f>
        <v>48102</v>
      </c>
      <c r="AJ3" s="601">
        <f>(AI3-AH3)</f>
        <v>0</v>
      </c>
      <c r="AL3" s="602">
        <f>AH4-AH3</f>
        <v>1496</v>
      </c>
      <c r="AM3" s="603">
        <f>AI4-AI3</f>
        <v>1492</v>
      </c>
      <c r="AN3" s="604">
        <f>(AM3-AL3)</f>
        <v>-4</v>
      </c>
      <c r="AO3" s="605">
        <f>IFERROR(AN3/AM3,"")</f>
        <v>-2.6809651474530832E-3</v>
      </c>
    </row>
    <row r="4" spans="1:41" x14ac:dyDescent="0.2">
      <c r="A4" s="502">
        <v>107</v>
      </c>
      <c r="B4" s="503">
        <v>0.375</v>
      </c>
      <c r="C4" s="504">
        <v>2013</v>
      </c>
      <c r="D4" s="504">
        <v>3</v>
      </c>
      <c r="E4" s="504">
        <v>2</v>
      </c>
      <c r="F4" s="505">
        <v>49594</v>
      </c>
      <c r="G4" s="504">
        <v>0</v>
      </c>
      <c r="H4" s="505">
        <v>153744</v>
      </c>
      <c r="I4" s="504">
        <v>0</v>
      </c>
      <c r="J4" s="504">
        <v>0</v>
      </c>
      <c r="K4" s="504">
        <v>0</v>
      </c>
      <c r="L4" s="506">
        <v>87.197000000000003</v>
      </c>
      <c r="M4" s="505">
        <v>20.5</v>
      </c>
      <c r="N4" s="507">
        <v>0</v>
      </c>
      <c r="O4" s="508">
        <v>367</v>
      </c>
      <c r="P4" s="493">
        <f t="shared" ref="P4:P33" si="0">F5-F4</f>
        <v>367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367</v>
      </c>
      <c r="W4" s="512">
        <f>V4*35.31467</f>
        <v>12960.48389</v>
      </c>
      <c r="X4" s="497"/>
      <c r="Y4" s="513">
        <f>V4*R4/1000000</f>
        <v>3.1624991598204435</v>
      </c>
      <c r="Z4" s="510">
        <f>S4*V4/1000000</f>
        <v>13.240751482336233</v>
      </c>
      <c r="AA4" s="511">
        <f>W4*T4/1000000</f>
        <v>12.549775358141261</v>
      </c>
      <c r="AE4" s="598" t="str">
        <f t="shared" ref="AE4:AE34" si="3">RIGHT(F4,6)</f>
        <v>49594</v>
      </c>
      <c r="AF4" s="502">
        <v>107</v>
      </c>
      <c r="AG4" s="606">
        <v>2</v>
      </c>
      <c r="AH4" s="607">
        <v>49598</v>
      </c>
      <c r="AI4" s="608">
        <f t="shared" ref="AI4:AI34" si="4">IFERROR(AE4*1,0)</f>
        <v>49594</v>
      </c>
      <c r="AJ4" s="609">
        <f t="shared" ref="AJ4:AJ34" si="5">(AI4-AH4)</f>
        <v>-4</v>
      </c>
      <c r="AL4" s="602">
        <f t="shared" ref="AL4:AM33" si="6">AH5-AH4</f>
        <v>363</v>
      </c>
      <c r="AM4" s="610">
        <f t="shared" si="6"/>
        <v>367</v>
      </c>
      <c r="AN4" s="611">
        <f t="shared" ref="AN4:AN33" si="7">(AM4-AL4)</f>
        <v>4</v>
      </c>
      <c r="AO4" s="612">
        <f t="shared" ref="AO4:AO33" si="8">IFERROR(AN4/AM4,"")</f>
        <v>1.0899182561307902E-2</v>
      </c>
    </row>
    <row r="5" spans="1:41" x14ac:dyDescent="0.2">
      <c r="A5" s="502">
        <v>107</v>
      </c>
      <c r="B5" s="503">
        <v>0.375</v>
      </c>
      <c r="C5" s="504">
        <v>2013</v>
      </c>
      <c r="D5" s="504">
        <v>3</v>
      </c>
      <c r="E5" s="504">
        <v>3</v>
      </c>
      <c r="F5" s="505">
        <v>49961</v>
      </c>
      <c r="G5" s="504">
        <v>0</v>
      </c>
      <c r="H5" s="505">
        <v>153796</v>
      </c>
      <c r="I5" s="504">
        <v>0</v>
      </c>
      <c r="J5" s="504">
        <v>0</v>
      </c>
      <c r="K5" s="504">
        <v>0</v>
      </c>
      <c r="L5" s="506">
        <v>88.594700000000003</v>
      </c>
      <c r="M5" s="505">
        <v>12.8</v>
      </c>
      <c r="N5" s="507">
        <v>0</v>
      </c>
      <c r="O5" s="508">
        <v>239</v>
      </c>
      <c r="P5" s="493">
        <f t="shared" si="0"/>
        <v>239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239</v>
      </c>
      <c r="W5" s="512">
        <f t="shared" ref="W5:W33" si="10">V5*35.31467</f>
        <v>8440.2061300000005</v>
      </c>
      <c r="X5" s="497"/>
      <c r="Y5" s="513">
        <f t="shared" ref="Y5:Y33" si="11">V5*R5/1000000</f>
        <v>2.0650023934573327</v>
      </c>
      <c r="Z5" s="510">
        <f t="shared" ref="Z5:Z33" si="12">S5*V5/1000000</f>
        <v>8.6457520209271603</v>
      </c>
      <c r="AA5" s="511">
        <f t="shared" ref="AA5:AA33" si="13">W5*T5/1000000</f>
        <v>8.1945685491928959</v>
      </c>
      <c r="AE5" s="598" t="str">
        <f t="shared" si="3"/>
        <v>49961</v>
      </c>
      <c r="AF5" s="502">
        <v>107</v>
      </c>
      <c r="AG5" s="606">
        <v>3</v>
      </c>
      <c r="AH5" s="607">
        <v>49961</v>
      </c>
      <c r="AI5" s="608">
        <f t="shared" si="4"/>
        <v>49961</v>
      </c>
      <c r="AJ5" s="609">
        <f t="shared" si="5"/>
        <v>0</v>
      </c>
      <c r="AL5" s="602">
        <f t="shared" si="6"/>
        <v>244</v>
      </c>
      <c r="AM5" s="610">
        <f t="shared" si="6"/>
        <v>239</v>
      </c>
      <c r="AN5" s="611">
        <f t="shared" si="7"/>
        <v>-5</v>
      </c>
      <c r="AO5" s="612">
        <f t="shared" si="8"/>
        <v>-2.0920502092050208E-2</v>
      </c>
    </row>
    <row r="6" spans="1:41" x14ac:dyDescent="0.2">
      <c r="A6" s="502">
        <v>107</v>
      </c>
      <c r="B6" s="503">
        <v>0.375</v>
      </c>
      <c r="C6" s="504">
        <v>2013</v>
      </c>
      <c r="D6" s="504">
        <v>3</v>
      </c>
      <c r="E6" s="504">
        <v>4</v>
      </c>
      <c r="F6" s="505">
        <v>50200</v>
      </c>
      <c r="G6" s="504">
        <v>0</v>
      </c>
      <c r="H6" s="505">
        <v>153830</v>
      </c>
      <c r="I6" s="504">
        <v>0</v>
      </c>
      <c r="J6" s="504">
        <v>0</v>
      </c>
      <c r="K6" s="504">
        <v>0</v>
      </c>
      <c r="L6" s="506">
        <v>88.251300000000001</v>
      </c>
      <c r="M6" s="505">
        <v>15.9</v>
      </c>
      <c r="N6" s="507">
        <v>0</v>
      </c>
      <c r="O6" s="508">
        <v>1471</v>
      </c>
      <c r="P6" s="493">
        <f t="shared" si="0"/>
        <v>1471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1471</v>
      </c>
      <c r="W6" s="512">
        <f t="shared" si="10"/>
        <v>51947.879569999997</v>
      </c>
      <c r="X6" s="497"/>
      <c r="Y6" s="513">
        <f t="shared" si="11"/>
        <v>12.755093752805847</v>
      </c>
      <c r="Z6" s="510">
        <f t="shared" si="12"/>
        <v>53.403026524247515</v>
      </c>
      <c r="AA6" s="511">
        <f t="shared" si="13"/>
        <v>50.616159303211575</v>
      </c>
      <c r="AE6" s="598" t="str">
        <f t="shared" si="3"/>
        <v>50200</v>
      </c>
      <c r="AF6" s="502">
        <v>107</v>
      </c>
      <c r="AG6" s="606">
        <v>4</v>
      </c>
      <c r="AH6" s="607">
        <v>50205</v>
      </c>
      <c r="AI6" s="608">
        <f t="shared" si="4"/>
        <v>50200</v>
      </c>
      <c r="AJ6" s="609">
        <f t="shared" si="5"/>
        <v>-5</v>
      </c>
      <c r="AL6" s="602">
        <f t="shared" si="6"/>
        <v>1471</v>
      </c>
      <c r="AM6" s="610">
        <f t="shared" si="6"/>
        <v>1471</v>
      </c>
      <c r="AN6" s="611">
        <f t="shared" si="7"/>
        <v>0</v>
      </c>
      <c r="AO6" s="612">
        <f t="shared" si="8"/>
        <v>0</v>
      </c>
    </row>
    <row r="7" spans="1:41" x14ac:dyDescent="0.2">
      <c r="A7" s="502">
        <v>107</v>
      </c>
      <c r="B7" s="503">
        <v>0.375</v>
      </c>
      <c r="C7" s="504">
        <v>2013</v>
      </c>
      <c r="D7" s="504">
        <v>3</v>
      </c>
      <c r="E7" s="504">
        <v>5</v>
      </c>
      <c r="F7" s="505">
        <v>51671</v>
      </c>
      <c r="G7" s="504">
        <v>0</v>
      </c>
      <c r="H7" s="505">
        <v>154044</v>
      </c>
      <c r="I7" s="504">
        <v>0</v>
      </c>
      <c r="J7" s="504">
        <v>0</v>
      </c>
      <c r="K7" s="504">
        <v>0</v>
      </c>
      <c r="L7" s="506">
        <v>86.601399999999998</v>
      </c>
      <c r="M7" s="505">
        <v>21.2</v>
      </c>
      <c r="N7" s="507">
        <v>0</v>
      </c>
      <c r="O7" s="508">
        <v>1372</v>
      </c>
      <c r="P7" s="493">
        <f t="shared" si="0"/>
        <v>1372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1372</v>
      </c>
      <c r="W7" s="512">
        <f t="shared" si="10"/>
        <v>48451.72724</v>
      </c>
      <c r="X7" s="497"/>
      <c r="Y7" s="513">
        <f t="shared" si="11"/>
        <v>11.886737117671386</v>
      </c>
      <c r="Z7" s="510">
        <f t="shared" si="12"/>
        <v>49.767390964266554</v>
      </c>
      <c r="AA7" s="511">
        <f t="shared" si="13"/>
        <v>47.170251446493708</v>
      </c>
      <c r="AE7" s="598" t="str">
        <f t="shared" si="3"/>
        <v>51671</v>
      </c>
      <c r="AF7" s="502">
        <v>107</v>
      </c>
      <c r="AG7" s="606">
        <v>5</v>
      </c>
      <c r="AH7" s="607">
        <v>51676</v>
      </c>
      <c r="AI7" s="608">
        <f t="shared" si="4"/>
        <v>51671</v>
      </c>
      <c r="AJ7" s="609">
        <f t="shared" si="5"/>
        <v>-5</v>
      </c>
      <c r="AL7" s="602">
        <f t="shared" si="6"/>
        <v>1370</v>
      </c>
      <c r="AM7" s="610">
        <f t="shared" si="6"/>
        <v>1372</v>
      </c>
      <c r="AN7" s="611">
        <f t="shared" si="7"/>
        <v>2</v>
      </c>
      <c r="AO7" s="612">
        <f t="shared" si="8"/>
        <v>1.4577259475218659E-3</v>
      </c>
    </row>
    <row r="8" spans="1:41" x14ac:dyDescent="0.2">
      <c r="A8" s="502">
        <v>107</v>
      </c>
      <c r="B8" s="503">
        <v>0.375</v>
      </c>
      <c r="C8" s="504">
        <v>2013</v>
      </c>
      <c r="D8" s="504">
        <v>3</v>
      </c>
      <c r="E8" s="504">
        <v>6</v>
      </c>
      <c r="F8" s="505">
        <v>53043</v>
      </c>
      <c r="G8" s="504">
        <v>0</v>
      </c>
      <c r="H8" s="505">
        <v>154243</v>
      </c>
      <c r="I8" s="504">
        <v>0</v>
      </c>
      <c r="J8" s="504">
        <v>0</v>
      </c>
      <c r="K8" s="504">
        <v>0</v>
      </c>
      <c r="L8" s="506">
        <v>86.781899999999993</v>
      </c>
      <c r="M8" s="505">
        <v>20.8</v>
      </c>
      <c r="N8" s="507">
        <v>0</v>
      </c>
      <c r="O8" s="508">
        <v>1495</v>
      </c>
      <c r="P8" s="493">
        <f t="shared" si="0"/>
        <v>1495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1495</v>
      </c>
      <c r="W8" s="512">
        <f t="shared" si="10"/>
        <v>52795.431649999999</v>
      </c>
      <c r="X8" s="497"/>
      <c r="Y8" s="513">
        <f t="shared" si="11"/>
        <v>12.972489534304254</v>
      </c>
      <c r="Z8" s="510">
        <f t="shared" si="12"/>
        <v>54.313219182225048</v>
      </c>
      <c r="AA8" s="511">
        <f t="shared" si="13"/>
        <v>51.478853041213227</v>
      </c>
      <c r="AE8" s="598" t="str">
        <f t="shared" si="3"/>
        <v>53043</v>
      </c>
      <c r="AF8" s="502">
        <v>107</v>
      </c>
      <c r="AG8" s="606">
        <v>6</v>
      </c>
      <c r="AH8" s="607">
        <v>53046</v>
      </c>
      <c r="AI8" s="608">
        <f t="shared" si="4"/>
        <v>53043</v>
      </c>
      <c r="AJ8" s="609">
        <f t="shared" si="5"/>
        <v>-3</v>
      </c>
      <c r="AL8" s="602">
        <f t="shared" si="6"/>
        <v>1497</v>
      </c>
      <c r="AM8" s="610">
        <f t="shared" si="6"/>
        <v>1495</v>
      </c>
      <c r="AN8" s="611">
        <f t="shared" si="7"/>
        <v>-2</v>
      </c>
      <c r="AO8" s="612">
        <f t="shared" si="8"/>
        <v>-1.3377926421404682E-3</v>
      </c>
    </row>
    <row r="9" spans="1:41" x14ac:dyDescent="0.2">
      <c r="A9" s="502">
        <v>107</v>
      </c>
      <c r="B9" s="503">
        <v>0.375</v>
      </c>
      <c r="C9" s="504">
        <v>2013</v>
      </c>
      <c r="D9" s="504">
        <v>3</v>
      </c>
      <c r="E9" s="504">
        <v>7</v>
      </c>
      <c r="F9" s="505">
        <v>54538</v>
      </c>
      <c r="G9" s="504">
        <v>0</v>
      </c>
      <c r="H9" s="505">
        <v>154460</v>
      </c>
      <c r="I9" s="504">
        <v>0</v>
      </c>
      <c r="J9" s="504">
        <v>0</v>
      </c>
      <c r="K9" s="504">
        <v>0</v>
      </c>
      <c r="L9" s="506">
        <v>86.749300000000005</v>
      </c>
      <c r="M9" s="505">
        <v>21.5</v>
      </c>
      <c r="N9" s="507">
        <v>0</v>
      </c>
      <c r="O9" s="508">
        <v>1626</v>
      </c>
      <c r="P9" s="493">
        <f t="shared" si="0"/>
        <v>1626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1626</v>
      </c>
      <c r="W9" s="512">
        <f t="shared" si="10"/>
        <v>57421.653420000002</v>
      </c>
      <c r="X9" s="497"/>
      <c r="Y9" s="513">
        <f t="shared" si="11"/>
        <v>14.12054716589223</v>
      </c>
      <c r="Z9" s="510">
        <f t="shared" si="12"/>
        <v>59.119906874157586</v>
      </c>
      <c r="AA9" s="511">
        <f t="shared" si="13"/>
        <v>56.034701010338651</v>
      </c>
      <c r="AE9" s="598" t="str">
        <f t="shared" si="3"/>
        <v>54538</v>
      </c>
      <c r="AF9" s="502">
        <v>107</v>
      </c>
      <c r="AG9" s="606">
        <v>7</v>
      </c>
      <c r="AH9" s="607">
        <v>54543</v>
      </c>
      <c r="AI9" s="608">
        <f t="shared" si="4"/>
        <v>54538</v>
      </c>
      <c r="AJ9" s="609">
        <f t="shared" si="5"/>
        <v>-5</v>
      </c>
      <c r="AL9" s="602">
        <f t="shared" si="6"/>
        <v>1621</v>
      </c>
      <c r="AM9" s="610">
        <f t="shared" si="6"/>
        <v>1626</v>
      </c>
      <c r="AN9" s="611">
        <f t="shared" si="7"/>
        <v>5</v>
      </c>
      <c r="AO9" s="612">
        <f t="shared" si="8"/>
        <v>3.0750307503075031E-3</v>
      </c>
    </row>
    <row r="10" spans="1:41" x14ac:dyDescent="0.2">
      <c r="A10" s="502">
        <v>107</v>
      </c>
      <c r="B10" s="503">
        <v>0.375</v>
      </c>
      <c r="C10" s="504">
        <v>2013</v>
      </c>
      <c r="D10" s="504">
        <v>3</v>
      </c>
      <c r="E10" s="504">
        <v>8</v>
      </c>
      <c r="F10" s="505">
        <v>56164</v>
      </c>
      <c r="G10" s="504">
        <v>0</v>
      </c>
      <c r="H10" s="505">
        <v>154696</v>
      </c>
      <c r="I10" s="504">
        <v>0</v>
      </c>
      <c r="J10" s="504">
        <v>0</v>
      </c>
      <c r="K10" s="504">
        <v>0</v>
      </c>
      <c r="L10" s="506">
        <v>86.810900000000004</v>
      </c>
      <c r="M10" s="505">
        <v>22.1</v>
      </c>
      <c r="N10" s="507">
        <v>0</v>
      </c>
      <c r="O10" s="508">
        <v>1636</v>
      </c>
      <c r="P10" s="493">
        <f t="shared" si="0"/>
        <v>1636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1636</v>
      </c>
      <c r="W10" s="512">
        <f t="shared" si="10"/>
        <v>57774.80012</v>
      </c>
      <c r="X10" s="497"/>
      <c r="Y10" s="513">
        <f t="shared" si="11"/>
        <v>14.201146896744058</v>
      </c>
      <c r="Z10" s="510">
        <f t="shared" si="12"/>
        <v>59.457361827288025</v>
      </c>
      <c r="AA10" s="511">
        <f t="shared" si="13"/>
        <v>56.354545685388146</v>
      </c>
      <c r="AE10" s="598" t="str">
        <f t="shared" si="3"/>
        <v>56164</v>
      </c>
      <c r="AF10" s="502">
        <v>107</v>
      </c>
      <c r="AG10" s="606">
        <v>8</v>
      </c>
      <c r="AH10" s="607">
        <v>56164</v>
      </c>
      <c r="AI10" s="608">
        <f t="shared" si="4"/>
        <v>56164</v>
      </c>
      <c r="AJ10" s="609">
        <f t="shared" si="5"/>
        <v>0</v>
      </c>
      <c r="AL10" s="602">
        <f t="shared" si="6"/>
        <v>1642</v>
      </c>
      <c r="AM10" s="610">
        <f t="shared" si="6"/>
        <v>1636</v>
      </c>
      <c r="AN10" s="611">
        <f t="shared" si="7"/>
        <v>-6</v>
      </c>
      <c r="AO10" s="612">
        <f t="shared" si="8"/>
        <v>-3.667481662591687E-3</v>
      </c>
    </row>
    <row r="11" spans="1:41" x14ac:dyDescent="0.2">
      <c r="A11" s="502">
        <v>107</v>
      </c>
      <c r="B11" s="503">
        <v>0.375</v>
      </c>
      <c r="C11" s="504">
        <v>2013</v>
      </c>
      <c r="D11" s="504">
        <v>3</v>
      </c>
      <c r="E11" s="504">
        <v>9</v>
      </c>
      <c r="F11" s="505">
        <v>57800</v>
      </c>
      <c r="G11" s="504">
        <v>0</v>
      </c>
      <c r="H11" s="505">
        <v>154932</v>
      </c>
      <c r="I11" s="504">
        <v>0</v>
      </c>
      <c r="J11" s="504">
        <v>0</v>
      </c>
      <c r="K11" s="504">
        <v>0</v>
      </c>
      <c r="L11" s="506">
        <v>87.072500000000005</v>
      </c>
      <c r="M11" s="505">
        <v>22.2</v>
      </c>
      <c r="N11" s="507">
        <v>0</v>
      </c>
      <c r="O11" s="508">
        <v>426</v>
      </c>
      <c r="P11" s="493">
        <f t="shared" si="0"/>
        <v>426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426</v>
      </c>
      <c r="W11" s="515">
        <f t="shared" si="10"/>
        <v>15044.049419999999</v>
      </c>
      <c r="Y11" s="513">
        <f t="shared" si="11"/>
        <v>3.7004906577133556</v>
      </c>
      <c r="Z11" s="510">
        <f t="shared" si="12"/>
        <v>15.493214285714275</v>
      </c>
      <c r="AA11" s="511">
        <f t="shared" si="13"/>
        <v>14.684692112879405</v>
      </c>
      <c r="AE11" s="598" t="str">
        <f t="shared" si="3"/>
        <v>57800</v>
      </c>
      <c r="AF11" s="502">
        <v>107</v>
      </c>
      <c r="AG11" s="606">
        <v>9</v>
      </c>
      <c r="AH11" s="607">
        <v>57806</v>
      </c>
      <c r="AI11" s="608">
        <f t="shared" si="4"/>
        <v>57800</v>
      </c>
      <c r="AJ11" s="609">
        <f t="shared" si="5"/>
        <v>-6</v>
      </c>
      <c r="AL11" s="602">
        <f t="shared" si="6"/>
        <v>420</v>
      </c>
      <c r="AM11" s="610">
        <f t="shared" si="6"/>
        <v>426</v>
      </c>
      <c r="AN11" s="611">
        <f t="shared" si="7"/>
        <v>6</v>
      </c>
      <c r="AO11" s="612">
        <f t="shared" si="8"/>
        <v>1.4084507042253521E-2</v>
      </c>
    </row>
    <row r="12" spans="1:41" x14ac:dyDescent="0.2">
      <c r="A12" s="502">
        <v>107</v>
      </c>
      <c r="B12" s="503">
        <v>0.375</v>
      </c>
      <c r="C12" s="504">
        <v>2013</v>
      </c>
      <c r="D12" s="504">
        <v>3</v>
      </c>
      <c r="E12" s="504">
        <v>10</v>
      </c>
      <c r="F12" s="505">
        <v>58226</v>
      </c>
      <c r="G12" s="504">
        <v>0</v>
      </c>
      <c r="H12" s="505">
        <v>154993</v>
      </c>
      <c r="I12" s="504">
        <v>0</v>
      </c>
      <c r="J12" s="504">
        <v>0</v>
      </c>
      <c r="K12" s="504">
        <v>0</v>
      </c>
      <c r="L12" s="506">
        <v>88.310599999999994</v>
      </c>
      <c r="M12" s="505">
        <v>19.600000000000001</v>
      </c>
      <c r="N12" s="507">
        <v>0</v>
      </c>
      <c r="O12" s="508">
        <v>367</v>
      </c>
      <c r="P12" s="493">
        <f t="shared" si="0"/>
        <v>367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367</v>
      </c>
      <c r="W12" s="515">
        <f t="shared" si="10"/>
        <v>12960.48389</v>
      </c>
      <c r="Y12" s="513">
        <f t="shared" si="11"/>
        <v>3.1924943322145474</v>
      </c>
      <c r="Z12" s="510">
        <f t="shared" si="12"/>
        <v>13.366335270115867</v>
      </c>
      <c r="AA12" s="511">
        <f t="shared" si="13"/>
        <v>12.668805484744075</v>
      </c>
      <c r="AE12" s="598" t="str">
        <f t="shared" si="3"/>
        <v>58226</v>
      </c>
      <c r="AF12" s="502">
        <v>107</v>
      </c>
      <c r="AG12" s="606">
        <v>10</v>
      </c>
      <c r="AH12" s="607">
        <v>58226</v>
      </c>
      <c r="AI12" s="608">
        <f t="shared" si="4"/>
        <v>58226</v>
      </c>
      <c r="AJ12" s="609">
        <f t="shared" si="5"/>
        <v>0</v>
      </c>
      <c r="AL12" s="602">
        <f t="shared" si="6"/>
        <v>370</v>
      </c>
      <c r="AM12" s="610">
        <f t="shared" si="6"/>
        <v>367</v>
      </c>
      <c r="AN12" s="611">
        <f t="shared" si="7"/>
        <v>-3</v>
      </c>
      <c r="AO12" s="612">
        <f t="shared" si="8"/>
        <v>-8.1743869209809257E-3</v>
      </c>
    </row>
    <row r="13" spans="1:41" x14ac:dyDescent="0.2">
      <c r="A13" s="502">
        <v>107</v>
      </c>
      <c r="B13" s="503">
        <v>0.375</v>
      </c>
      <c r="C13" s="504">
        <v>2013</v>
      </c>
      <c r="D13" s="504">
        <v>3</v>
      </c>
      <c r="E13" s="504">
        <v>11</v>
      </c>
      <c r="F13" s="505">
        <v>58593</v>
      </c>
      <c r="G13" s="504">
        <v>0</v>
      </c>
      <c r="H13" s="505">
        <v>155047</v>
      </c>
      <c r="I13" s="504">
        <v>0</v>
      </c>
      <c r="J13" s="504">
        <v>0</v>
      </c>
      <c r="K13" s="504">
        <v>0</v>
      </c>
      <c r="L13" s="506">
        <v>87.739099999999993</v>
      </c>
      <c r="M13" s="505">
        <v>21</v>
      </c>
      <c r="N13" s="507">
        <v>0</v>
      </c>
      <c r="O13" s="508">
        <v>1682</v>
      </c>
      <c r="P13" s="493">
        <f t="shared" si="0"/>
        <v>1682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1682</v>
      </c>
      <c r="W13" s="515">
        <f t="shared" si="10"/>
        <v>59399.274939999996</v>
      </c>
      <c r="Y13" s="513">
        <f t="shared" si="11"/>
        <v>14.606201057221513</v>
      </c>
      <c r="Z13" s="510">
        <f t="shared" si="12"/>
        <v>61.153242586375029</v>
      </c>
      <c r="AA13" s="511">
        <f t="shared" si="13"/>
        <v>57.961925945423118</v>
      </c>
      <c r="AE13" s="598" t="str">
        <f t="shared" si="3"/>
        <v>58593</v>
      </c>
      <c r="AF13" s="502">
        <v>107</v>
      </c>
      <c r="AG13" s="606">
        <v>11</v>
      </c>
      <c r="AH13" s="607">
        <v>58596</v>
      </c>
      <c r="AI13" s="608">
        <f t="shared" si="4"/>
        <v>58593</v>
      </c>
      <c r="AJ13" s="609">
        <f t="shared" si="5"/>
        <v>-3</v>
      </c>
      <c r="AL13" s="602">
        <f t="shared" si="6"/>
        <v>1686</v>
      </c>
      <c r="AM13" s="610">
        <f t="shared" si="6"/>
        <v>1682</v>
      </c>
      <c r="AN13" s="611">
        <f t="shared" si="7"/>
        <v>-4</v>
      </c>
      <c r="AO13" s="612">
        <f t="shared" si="8"/>
        <v>-2.3781212841854932E-3</v>
      </c>
    </row>
    <row r="14" spans="1:41" x14ac:dyDescent="0.2">
      <c r="A14" s="502">
        <v>107</v>
      </c>
      <c r="B14" s="503">
        <v>0.375</v>
      </c>
      <c r="C14" s="504">
        <v>2013</v>
      </c>
      <c r="D14" s="504">
        <v>3</v>
      </c>
      <c r="E14" s="504">
        <v>12</v>
      </c>
      <c r="F14" s="505">
        <v>60275</v>
      </c>
      <c r="G14" s="504">
        <v>0</v>
      </c>
      <c r="H14" s="505">
        <v>155291</v>
      </c>
      <c r="I14" s="504">
        <v>0</v>
      </c>
      <c r="J14" s="504">
        <v>0</v>
      </c>
      <c r="K14" s="504">
        <v>0</v>
      </c>
      <c r="L14" s="506">
        <v>86.741399999999999</v>
      </c>
      <c r="M14" s="505">
        <v>21.7</v>
      </c>
      <c r="N14" s="507">
        <v>0</v>
      </c>
      <c r="O14" s="508">
        <v>1913</v>
      </c>
      <c r="P14" s="493">
        <f t="shared" si="0"/>
        <v>1913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1913</v>
      </c>
      <c r="W14" s="515">
        <f t="shared" si="10"/>
        <v>67556.963709999996</v>
      </c>
      <c r="Y14" s="513">
        <f t="shared" si="11"/>
        <v>16.619305832408788</v>
      </c>
      <c r="Z14" s="510">
        <f t="shared" si="12"/>
        <v>69.581709659129118</v>
      </c>
      <c r="AA14" s="511">
        <f t="shared" si="13"/>
        <v>65.950548684673493</v>
      </c>
      <c r="AE14" s="598" t="str">
        <f t="shared" si="3"/>
        <v>60275</v>
      </c>
      <c r="AF14" s="502">
        <v>107</v>
      </c>
      <c r="AG14" s="606">
        <v>12</v>
      </c>
      <c r="AH14" s="607">
        <v>60282</v>
      </c>
      <c r="AI14" s="608">
        <f t="shared" si="4"/>
        <v>60275</v>
      </c>
      <c r="AJ14" s="609">
        <f t="shared" si="5"/>
        <v>-7</v>
      </c>
      <c r="AL14" s="602">
        <f t="shared" si="6"/>
        <v>1909</v>
      </c>
      <c r="AM14" s="610">
        <f t="shared" si="6"/>
        <v>1913</v>
      </c>
      <c r="AN14" s="611">
        <f t="shared" si="7"/>
        <v>4</v>
      </c>
      <c r="AO14" s="612">
        <f t="shared" si="8"/>
        <v>2.0909566126502874E-3</v>
      </c>
    </row>
    <row r="15" spans="1:41" x14ac:dyDescent="0.2">
      <c r="A15" s="502">
        <v>107</v>
      </c>
      <c r="B15" s="503">
        <v>0.375</v>
      </c>
      <c r="C15" s="504">
        <v>2013</v>
      </c>
      <c r="D15" s="504">
        <v>3</v>
      </c>
      <c r="E15" s="504">
        <v>13</v>
      </c>
      <c r="F15" s="505">
        <v>62188</v>
      </c>
      <c r="G15" s="504">
        <v>0</v>
      </c>
      <c r="H15" s="505">
        <v>155569</v>
      </c>
      <c r="I15" s="504">
        <v>0</v>
      </c>
      <c r="J15" s="504">
        <v>0</v>
      </c>
      <c r="K15" s="504">
        <v>0</v>
      </c>
      <c r="L15" s="506">
        <v>86.686300000000003</v>
      </c>
      <c r="M15" s="505">
        <v>22.1</v>
      </c>
      <c r="N15" s="507">
        <v>0</v>
      </c>
      <c r="O15" s="508">
        <v>1691</v>
      </c>
      <c r="P15" s="493">
        <f t="shared" si="0"/>
        <v>1691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1691</v>
      </c>
      <c r="W15" s="515">
        <f t="shared" si="10"/>
        <v>59717.106970000001</v>
      </c>
      <c r="Y15" s="513">
        <f t="shared" si="11"/>
        <v>14.655791956216582</v>
      </c>
      <c r="Z15" s="510">
        <f t="shared" si="12"/>
        <v>61.360869762287585</v>
      </c>
      <c r="AA15" s="511">
        <f t="shared" si="13"/>
        <v>58.158717979426918</v>
      </c>
      <c r="AE15" s="598" t="str">
        <f t="shared" si="3"/>
        <v>62188</v>
      </c>
      <c r="AF15" s="502">
        <v>107</v>
      </c>
      <c r="AG15" s="606">
        <v>13</v>
      </c>
      <c r="AH15" s="607">
        <v>62191</v>
      </c>
      <c r="AI15" s="608">
        <f t="shared" si="4"/>
        <v>62188</v>
      </c>
      <c r="AJ15" s="609">
        <f t="shared" si="5"/>
        <v>-3</v>
      </c>
      <c r="AL15" s="602">
        <f t="shared" si="6"/>
        <v>-62191</v>
      </c>
      <c r="AM15" s="610">
        <f t="shared" si="6"/>
        <v>1691</v>
      </c>
      <c r="AN15" s="611">
        <f t="shared" si="7"/>
        <v>63882</v>
      </c>
      <c r="AO15" s="612">
        <f t="shared" si="8"/>
        <v>37.777646363098761</v>
      </c>
    </row>
    <row r="16" spans="1:41" x14ac:dyDescent="0.2">
      <c r="A16" s="502">
        <v>107</v>
      </c>
      <c r="B16" s="503">
        <v>0.375</v>
      </c>
      <c r="C16" s="504">
        <v>2013</v>
      </c>
      <c r="D16" s="504">
        <v>3</v>
      </c>
      <c r="E16" s="504">
        <v>14</v>
      </c>
      <c r="F16" s="505">
        <v>63879</v>
      </c>
      <c r="G16" s="504">
        <v>0</v>
      </c>
      <c r="H16" s="505">
        <v>155814</v>
      </c>
      <c r="I16" s="504">
        <v>0</v>
      </c>
      <c r="J16" s="504">
        <v>0</v>
      </c>
      <c r="K16" s="504">
        <v>0</v>
      </c>
      <c r="L16" s="506">
        <v>86.861199999999997</v>
      </c>
      <c r="M16" s="505">
        <v>21.2</v>
      </c>
      <c r="N16" s="507">
        <v>0</v>
      </c>
      <c r="O16" s="508">
        <v>1736</v>
      </c>
      <c r="P16" s="493">
        <f t="shared" si="0"/>
        <v>1736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1736</v>
      </c>
      <c r="W16" s="515">
        <f t="shared" si="10"/>
        <v>61306.267119999997</v>
      </c>
      <c r="Y16" s="513">
        <f t="shared" si="11"/>
        <v>15.00684284233791</v>
      </c>
      <c r="Z16" s="510">
        <f t="shared" si="12"/>
        <v>62.830649612300355</v>
      </c>
      <c r="AA16" s="511">
        <f t="shared" si="13"/>
        <v>59.551796534536869</v>
      </c>
      <c r="AE16" s="598" t="str">
        <f t="shared" si="3"/>
        <v>63879</v>
      </c>
      <c r="AF16" s="502"/>
      <c r="AG16" s="606"/>
      <c r="AH16" s="607"/>
      <c r="AI16" s="608">
        <f t="shared" si="4"/>
        <v>63879</v>
      </c>
      <c r="AJ16" s="609">
        <f t="shared" si="5"/>
        <v>63879</v>
      </c>
      <c r="AL16" s="602">
        <f t="shared" si="6"/>
        <v>0</v>
      </c>
      <c r="AM16" s="610">
        <f t="shared" si="6"/>
        <v>1736</v>
      </c>
      <c r="AN16" s="611">
        <f t="shared" si="7"/>
        <v>1736</v>
      </c>
      <c r="AO16" s="612">
        <f t="shared" si="8"/>
        <v>1</v>
      </c>
    </row>
    <row r="17" spans="1:41" x14ac:dyDescent="0.2">
      <c r="A17" s="502">
        <v>107</v>
      </c>
      <c r="B17" s="503">
        <v>0.375</v>
      </c>
      <c r="C17" s="504">
        <v>2013</v>
      </c>
      <c r="D17" s="504">
        <v>3</v>
      </c>
      <c r="E17" s="504">
        <v>15</v>
      </c>
      <c r="F17" s="505">
        <v>65615</v>
      </c>
      <c r="G17" s="504">
        <v>0</v>
      </c>
      <c r="H17" s="505">
        <v>156065</v>
      </c>
      <c r="I17" s="504">
        <v>0</v>
      </c>
      <c r="J17" s="504">
        <v>0</v>
      </c>
      <c r="K17" s="504">
        <v>0</v>
      </c>
      <c r="L17" s="506">
        <v>86.838300000000004</v>
      </c>
      <c r="M17" s="505">
        <v>21.3</v>
      </c>
      <c r="N17" s="507">
        <v>0</v>
      </c>
      <c r="O17" s="508">
        <v>1678</v>
      </c>
      <c r="P17" s="493">
        <f t="shared" si="0"/>
        <v>1678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1678</v>
      </c>
      <c r="W17" s="515">
        <f t="shared" si="10"/>
        <v>59258.016259999997</v>
      </c>
      <c r="Y17" s="513">
        <f t="shared" si="11"/>
        <v>14.687338358555985</v>
      </c>
      <c r="Z17" s="510">
        <f t="shared" si="12"/>
        <v>61.4929482396022</v>
      </c>
      <c r="AA17" s="511">
        <f t="shared" si="13"/>
        <v>58.28390386650856</v>
      </c>
      <c r="AE17" s="598" t="str">
        <f t="shared" si="3"/>
        <v>65615</v>
      </c>
      <c r="AF17" s="502"/>
      <c r="AG17" s="606"/>
      <c r="AH17" s="607"/>
      <c r="AI17" s="608">
        <f t="shared" si="4"/>
        <v>65615</v>
      </c>
      <c r="AJ17" s="609">
        <f t="shared" si="5"/>
        <v>65615</v>
      </c>
      <c r="AL17" s="602">
        <f t="shared" si="6"/>
        <v>67293</v>
      </c>
      <c r="AM17" s="610">
        <f t="shared" si="6"/>
        <v>1678</v>
      </c>
      <c r="AN17" s="611">
        <f t="shared" si="7"/>
        <v>-65615</v>
      </c>
      <c r="AO17" s="612">
        <f t="shared" si="8"/>
        <v>-39.103098927294397</v>
      </c>
    </row>
    <row r="18" spans="1:41" x14ac:dyDescent="0.2">
      <c r="A18" s="502">
        <v>107</v>
      </c>
      <c r="B18" s="503">
        <v>0.375</v>
      </c>
      <c r="C18" s="504">
        <v>2013</v>
      </c>
      <c r="D18" s="504">
        <v>3</v>
      </c>
      <c r="E18" s="504">
        <v>16</v>
      </c>
      <c r="F18" s="505">
        <v>67293</v>
      </c>
      <c r="G18" s="504">
        <v>0</v>
      </c>
      <c r="H18" s="505">
        <v>156307</v>
      </c>
      <c r="I18" s="504">
        <v>0</v>
      </c>
      <c r="J18" s="504">
        <v>0</v>
      </c>
      <c r="K18" s="504">
        <v>0</v>
      </c>
      <c r="L18" s="506">
        <v>87.076700000000002</v>
      </c>
      <c r="M18" s="505">
        <v>20.6</v>
      </c>
      <c r="N18" s="507">
        <v>0</v>
      </c>
      <c r="O18" s="508">
        <v>250</v>
      </c>
      <c r="P18" s="493">
        <f t="shared" si="0"/>
        <v>250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250</v>
      </c>
      <c r="W18" s="515">
        <f t="shared" si="10"/>
        <v>8828.6674999999996</v>
      </c>
      <c r="Y18" s="513">
        <f t="shared" si="11"/>
        <v>2.1882208519898665</v>
      </c>
      <c r="Z18" s="510">
        <f t="shared" si="12"/>
        <v>9.1616430631111747</v>
      </c>
      <c r="AA18" s="511">
        <f t="shared" si="13"/>
        <v>8.6835375248075906</v>
      </c>
      <c r="AE18" s="598" t="str">
        <f t="shared" si="3"/>
        <v>67293</v>
      </c>
      <c r="AF18" s="502">
        <v>107</v>
      </c>
      <c r="AG18" s="606">
        <v>16</v>
      </c>
      <c r="AH18" s="607">
        <v>67293</v>
      </c>
      <c r="AI18" s="608">
        <f t="shared" si="4"/>
        <v>67293</v>
      </c>
      <c r="AJ18" s="609">
        <f t="shared" si="5"/>
        <v>0</v>
      </c>
      <c r="AL18" s="602">
        <f t="shared" si="6"/>
        <v>249</v>
      </c>
      <c r="AM18" s="610">
        <f t="shared" si="6"/>
        <v>250</v>
      </c>
      <c r="AN18" s="611">
        <f t="shared" si="7"/>
        <v>1</v>
      </c>
      <c r="AO18" s="612">
        <f t="shared" si="8"/>
        <v>4.0000000000000001E-3</v>
      </c>
    </row>
    <row r="19" spans="1:41" x14ac:dyDescent="0.2">
      <c r="A19" s="502">
        <v>107</v>
      </c>
      <c r="B19" s="503">
        <v>0.375</v>
      </c>
      <c r="C19" s="504">
        <v>2013</v>
      </c>
      <c r="D19" s="504">
        <v>3</v>
      </c>
      <c r="E19" s="504">
        <v>17</v>
      </c>
      <c r="F19" s="505">
        <v>67543</v>
      </c>
      <c r="G19" s="504">
        <v>0</v>
      </c>
      <c r="H19" s="505">
        <v>156343</v>
      </c>
      <c r="I19" s="504">
        <v>0</v>
      </c>
      <c r="J19" s="504">
        <v>0</v>
      </c>
      <c r="K19" s="504">
        <v>0</v>
      </c>
      <c r="L19" s="506">
        <v>89.014099999999999</v>
      </c>
      <c r="M19" s="505">
        <v>12.5</v>
      </c>
      <c r="N19" s="507">
        <v>0</v>
      </c>
      <c r="O19" s="508">
        <v>0</v>
      </c>
      <c r="P19" s="493">
        <f t="shared" si="0"/>
        <v>0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0</v>
      </c>
      <c r="W19" s="515">
        <f t="shared" si="10"/>
        <v>0</v>
      </c>
      <c r="Y19" s="513">
        <f t="shared" si="11"/>
        <v>0</v>
      </c>
      <c r="Z19" s="510">
        <f t="shared" si="12"/>
        <v>0</v>
      </c>
      <c r="AA19" s="511">
        <f t="shared" si="13"/>
        <v>0</v>
      </c>
      <c r="AE19" s="598" t="str">
        <f t="shared" si="3"/>
        <v>67543</v>
      </c>
      <c r="AF19" s="502">
        <v>107</v>
      </c>
      <c r="AG19" s="606">
        <v>17</v>
      </c>
      <c r="AH19" s="607">
        <v>67542</v>
      </c>
      <c r="AI19" s="608">
        <f t="shared" si="4"/>
        <v>67543</v>
      </c>
      <c r="AJ19" s="609">
        <f t="shared" si="5"/>
        <v>1</v>
      </c>
      <c r="AL19" s="602">
        <f t="shared" si="6"/>
        <v>-67542</v>
      </c>
      <c r="AM19" s="610">
        <f t="shared" si="6"/>
        <v>0</v>
      </c>
      <c r="AN19" s="611">
        <f t="shared" si="7"/>
        <v>67542</v>
      </c>
      <c r="AO19" s="612" t="str">
        <f t="shared" si="8"/>
        <v/>
      </c>
    </row>
    <row r="20" spans="1:41" x14ac:dyDescent="0.2">
      <c r="A20" s="502">
        <v>107</v>
      </c>
      <c r="B20" s="503">
        <v>0.375</v>
      </c>
      <c r="C20" s="504">
        <v>2013</v>
      </c>
      <c r="D20" s="504">
        <v>3</v>
      </c>
      <c r="E20" s="504">
        <v>18</v>
      </c>
      <c r="F20" s="505">
        <v>67543</v>
      </c>
      <c r="G20" s="504">
        <v>0</v>
      </c>
      <c r="H20" s="505">
        <v>156343</v>
      </c>
      <c r="I20" s="504">
        <v>0</v>
      </c>
      <c r="J20" s="504">
        <v>0</v>
      </c>
      <c r="K20" s="504">
        <v>0</v>
      </c>
      <c r="L20" s="506">
        <v>89.004000000000005</v>
      </c>
      <c r="M20" s="505">
        <v>16.3</v>
      </c>
      <c r="N20" s="507">
        <v>0</v>
      </c>
      <c r="O20" s="508">
        <v>278</v>
      </c>
      <c r="P20" s="493">
        <f t="shared" si="0"/>
        <v>278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278</v>
      </c>
      <c r="W20" s="515">
        <f t="shared" si="10"/>
        <v>9817.4782599999999</v>
      </c>
      <c r="Y20" s="513">
        <f t="shared" si="11"/>
        <v>2.4333015874127315</v>
      </c>
      <c r="Z20" s="510">
        <f t="shared" si="12"/>
        <v>10.187747086179625</v>
      </c>
      <c r="AA20" s="511">
        <f t="shared" si="13"/>
        <v>9.6560937275860415</v>
      </c>
      <c r="AE20" s="598" t="str">
        <f t="shared" si="3"/>
        <v>67543</v>
      </c>
      <c r="AF20" s="502"/>
      <c r="AG20" s="606"/>
      <c r="AH20" s="607"/>
      <c r="AI20" s="608">
        <f t="shared" si="4"/>
        <v>67543</v>
      </c>
      <c r="AJ20" s="609">
        <f t="shared" si="5"/>
        <v>67543</v>
      </c>
      <c r="AL20" s="602">
        <f t="shared" si="6"/>
        <v>0</v>
      </c>
      <c r="AM20" s="610">
        <f t="shared" si="6"/>
        <v>278</v>
      </c>
      <c r="AN20" s="611">
        <f t="shared" si="7"/>
        <v>278</v>
      </c>
      <c r="AO20" s="612">
        <f t="shared" si="8"/>
        <v>1</v>
      </c>
    </row>
    <row r="21" spans="1:41" x14ac:dyDescent="0.2">
      <c r="A21" s="502">
        <v>107</v>
      </c>
      <c r="B21" s="503">
        <v>0.375</v>
      </c>
      <c r="C21" s="504">
        <v>2013</v>
      </c>
      <c r="D21" s="504">
        <v>3</v>
      </c>
      <c r="E21" s="504">
        <v>19</v>
      </c>
      <c r="F21" s="505">
        <v>67821</v>
      </c>
      <c r="G21" s="504">
        <v>0</v>
      </c>
      <c r="H21" s="505">
        <v>156383</v>
      </c>
      <c r="I21" s="504">
        <v>0</v>
      </c>
      <c r="J21" s="504">
        <v>0</v>
      </c>
      <c r="K21" s="504">
        <v>0</v>
      </c>
      <c r="L21" s="506">
        <v>88.220799999999997</v>
      </c>
      <c r="M21" s="505">
        <v>20.9</v>
      </c>
      <c r="N21" s="507">
        <v>0</v>
      </c>
      <c r="O21" s="508">
        <v>1242</v>
      </c>
      <c r="P21" s="493">
        <f t="shared" si="0"/>
        <v>1242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1242</v>
      </c>
      <c r="W21" s="515">
        <f t="shared" si="10"/>
        <v>43860.820139999996</v>
      </c>
      <c r="Y21" s="513">
        <f t="shared" si="11"/>
        <v>10.871081192685658</v>
      </c>
      <c r="Z21" s="510">
        <f t="shared" si="12"/>
        <v>45.515042737536312</v>
      </c>
      <c r="AA21" s="511">
        <f t="shared" si="13"/>
        <v>43.139814423244118</v>
      </c>
      <c r="AE21" s="598" t="str">
        <f t="shared" si="3"/>
        <v>67821</v>
      </c>
      <c r="AF21" s="502"/>
      <c r="AG21" s="606"/>
      <c r="AH21" s="607"/>
      <c r="AI21" s="608">
        <f t="shared" si="4"/>
        <v>67821</v>
      </c>
      <c r="AJ21" s="609">
        <f t="shared" si="5"/>
        <v>67821</v>
      </c>
      <c r="AL21" s="602">
        <f t="shared" si="6"/>
        <v>0</v>
      </c>
      <c r="AM21" s="610">
        <f t="shared" si="6"/>
        <v>1242</v>
      </c>
      <c r="AN21" s="611">
        <f t="shared" si="7"/>
        <v>1242</v>
      </c>
      <c r="AO21" s="612">
        <f t="shared" si="8"/>
        <v>1</v>
      </c>
    </row>
    <row r="22" spans="1:41" x14ac:dyDescent="0.2">
      <c r="A22" s="502">
        <v>107</v>
      </c>
      <c r="B22" s="503">
        <v>0.375</v>
      </c>
      <c r="C22" s="504">
        <v>2013</v>
      </c>
      <c r="D22" s="504">
        <v>3</v>
      </c>
      <c r="E22" s="504">
        <v>20</v>
      </c>
      <c r="F22" s="505">
        <v>69063</v>
      </c>
      <c r="G22" s="504">
        <v>0</v>
      </c>
      <c r="H22" s="505">
        <v>156564</v>
      </c>
      <c r="I22" s="504">
        <v>0</v>
      </c>
      <c r="J22" s="504">
        <v>0</v>
      </c>
      <c r="K22" s="504">
        <v>0</v>
      </c>
      <c r="L22" s="506">
        <v>86.940200000000004</v>
      </c>
      <c r="M22" s="505">
        <v>20.2</v>
      </c>
      <c r="N22" s="507">
        <v>0</v>
      </c>
      <c r="O22" s="508">
        <v>1367</v>
      </c>
      <c r="P22" s="493">
        <f t="shared" si="0"/>
        <v>1367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1367</v>
      </c>
      <c r="W22" s="515">
        <f t="shared" si="10"/>
        <v>48275.153890000001</v>
      </c>
      <c r="Y22" s="513">
        <f t="shared" si="11"/>
        <v>11.96519161868059</v>
      </c>
      <c r="Z22" s="510">
        <f t="shared" si="12"/>
        <v>50.095864269091905</v>
      </c>
      <c r="AA22" s="511">
        <f t="shared" si="13"/>
        <v>47.481583185647921</v>
      </c>
      <c r="AE22" s="598" t="str">
        <f t="shared" si="3"/>
        <v>69063</v>
      </c>
      <c r="AF22" s="502"/>
      <c r="AG22" s="606"/>
      <c r="AH22" s="607"/>
      <c r="AI22" s="608">
        <f t="shared" si="4"/>
        <v>69063</v>
      </c>
      <c r="AJ22" s="609">
        <f t="shared" si="5"/>
        <v>69063</v>
      </c>
      <c r="AL22" s="602">
        <f t="shared" si="6"/>
        <v>0</v>
      </c>
      <c r="AM22" s="610">
        <f t="shared" si="6"/>
        <v>1367</v>
      </c>
      <c r="AN22" s="611">
        <f t="shared" si="7"/>
        <v>1367</v>
      </c>
      <c r="AO22" s="612">
        <f t="shared" si="8"/>
        <v>1</v>
      </c>
    </row>
    <row r="23" spans="1:41" x14ac:dyDescent="0.2">
      <c r="A23" s="502">
        <v>107</v>
      </c>
      <c r="B23" s="503">
        <v>0.375</v>
      </c>
      <c r="C23" s="504">
        <v>2013</v>
      </c>
      <c r="D23" s="504">
        <v>3</v>
      </c>
      <c r="E23" s="504">
        <v>21</v>
      </c>
      <c r="F23" s="505">
        <v>70430</v>
      </c>
      <c r="G23" s="504">
        <v>0</v>
      </c>
      <c r="H23" s="505">
        <v>156763</v>
      </c>
      <c r="I23" s="504">
        <v>0</v>
      </c>
      <c r="J23" s="504">
        <v>0</v>
      </c>
      <c r="K23" s="504">
        <v>0</v>
      </c>
      <c r="L23" s="506">
        <v>86.684399999999997</v>
      </c>
      <c r="M23" s="505">
        <v>20</v>
      </c>
      <c r="N23" s="507">
        <v>0</v>
      </c>
      <c r="O23" s="508">
        <v>1667</v>
      </c>
      <c r="P23" s="493">
        <f t="shared" si="0"/>
        <v>1667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1667</v>
      </c>
      <c r="W23" s="515">
        <f t="shared" si="10"/>
        <v>58869.554889999999</v>
      </c>
      <c r="Y23" s="513">
        <f t="shared" si="11"/>
        <v>14.591056641068432</v>
      </c>
      <c r="Z23" s="510">
        <f t="shared" si="12"/>
        <v>61.089835944825317</v>
      </c>
      <c r="AA23" s="511">
        <f t="shared" si="13"/>
        <v>57.901828215417027</v>
      </c>
      <c r="AE23" s="598" t="str">
        <f t="shared" si="3"/>
        <v>70430</v>
      </c>
      <c r="AF23" s="502"/>
      <c r="AG23" s="606"/>
      <c r="AH23" s="607"/>
      <c r="AI23" s="608">
        <f t="shared" si="4"/>
        <v>70430</v>
      </c>
      <c r="AJ23" s="609">
        <f t="shared" si="5"/>
        <v>70430</v>
      </c>
      <c r="AL23" s="602">
        <f t="shared" si="6"/>
        <v>72097</v>
      </c>
      <c r="AM23" s="610">
        <f t="shared" si="6"/>
        <v>1667</v>
      </c>
      <c r="AN23" s="611">
        <f t="shared" si="7"/>
        <v>-70430</v>
      </c>
      <c r="AO23" s="612">
        <f t="shared" si="8"/>
        <v>-42.249550089982002</v>
      </c>
    </row>
    <row r="24" spans="1:41" x14ac:dyDescent="0.2">
      <c r="A24" s="502">
        <v>107</v>
      </c>
      <c r="B24" s="503">
        <v>0.375</v>
      </c>
      <c r="C24" s="504">
        <v>2013</v>
      </c>
      <c r="D24" s="504">
        <v>3</v>
      </c>
      <c r="E24" s="504">
        <v>22</v>
      </c>
      <c r="F24" s="505">
        <v>72097</v>
      </c>
      <c r="G24" s="504">
        <v>0</v>
      </c>
      <c r="H24" s="505">
        <v>157006</v>
      </c>
      <c r="I24" s="504">
        <v>0</v>
      </c>
      <c r="J24" s="504">
        <v>0</v>
      </c>
      <c r="K24" s="504">
        <v>0</v>
      </c>
      <c r="L24" s="506">
        <v>86.591800000000006</v>
      </c>
      <c r="M24" s="505">
        <v>22.1</v>
      </c>
      <c r="N24" s="507">
        <v>0</v>
      </c>
      <c r="O24" s="508">
        <v>775</v>
      </c>
      <c r="P24" s="493">
        <f t="shared" si="0"/>
        <v>775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775</v>
      </c>
      <c r="W24" s="515">
        <f t="shared" si="10"/>
        <v>27368.86925</v>
      </c>
      <c r="Y24" s="513">
        <f t="shared" si="11"/>
        <v>6.7834846411685872</v>
      </c>
      <c r="Z24" s="510">
        <f t="shared" si="12"/>
        <v>28.401093495644641</v>
      </c>
      <c r="AA24" s="511">
        <f t="shared" si="13"/>
        <v>26.918966326903536</v>
      </c>
      <c r="AE24" s="598" t="str">
        <f t="shared" si="3"/>
        <v>72097</v>
      </c>
      <c r="AF24" s="502">
        <v>107</v>
      </c>
      <c r="AG24" s="606">
        <v>22</v>
      </c>
      <c r="AH24" s="607">
        <v>72097</v>
      </c>
      <c r="AI24" s="608">
        <f t="shared" si="4"/>
        <v>72097</v>
      </c>
      <c r="AJ24" s="609">
        <f t="shared" si="5"/>
        <v>0</v>
      </c>
      <c r="AL24" s="602">
        <f t="shared" si="6"/>
        <v>778</v>
      </c>
      <c r="AM24" s="610">
        <f t="shared" si="6"/>
        <v>775</v>
      </c>
      <c r="AN24" s="611">
        <f t="shared" si="7"/>
        <v>-3</v>
      </c>
      <c r="AO24" s="612">
        <f t="shared" si="8"/>
        <v>-3.8709677419354839E-3</v>
      </c>
    </row>
    <row r="25" spans="1:41" x14ac:dyDescent="0.2">
      <c r="A25" s="502">
        <v>107</v>
      </c>
      <c r="B25" s="503">
        <v>0.375</v>
      </c>
      <c r="C25" s="504">
        <v>2013</v>
      </c>
      <c r="D25" s="504">
        <v>3</v>
      </c>
      <c r="E25" s="504">
        <v>23</v>
      </c>
      <c r="F25" s="505">
        <v>72872</v>
      </c>
      <c r="G25" s="504">
        <v>0</v>
      </c>
      <c r="H25" s="505">
        <v>157118</v>
      </c>
      <c r="I25" s="504">
        <v>0</v>
      </c>
      <c r="J25" s="504">
        <v>0</v>
      </c>
      <c r="K25" s="504">
        <v>0</v>
      </c>
      <c r="L25" s="506">
        <v>87.190200000000004</v>
      </c>
      <c r="M25" s="505">
        <v>20.2</v>
      </c>
      <c r="N25" s="507">
        <v>0</v>
      </c>
      <c r="O25" s="508">
        <v>154</v>
      </c>
      <c r="P25" s="493">
        <f t="shared" si="0"/>
        <v>154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154</v>
      </c>
      <c r="W25" s="515">
        <f t="shared" si="10"/>
        <v>5438.4591799999998</v>
      </c>
      <c r="Y25" s="513">
        <f t="shared" si="11"/>
        <v>1.3479440448257578</v>
      </c>
      <c r="Z25" s="510">
        <f t="shared" si="12"/>
        <v>5.6435721268764834</v>
      </c>
      <c r="AA25" s="511">
        <f t="shared" si="13"/>
        <v>5.3490591152814764</v>
      </c>
      <c r="AE25" s="598" t="str">
        <f t="shared" si="3"/>
        <v>72872</v>
      </c>
      <c r="AF25" s="502">
        <v>107</v>
      </c>
      <c r="AG25" s="606">
        <v>23</v>
      </c>
      <c r="AH25" s="607">
        <v>72875</v>
      </c>
      <c r="AI25" s="608">
        <f t="shared" si="4"/>
        <v>72872</v>
      </c>
      <c r="AJ25" s="609">
        <f t="shared" si="5"/>
        <v>-3</v>
      </c>
      <c r="AL25" s="602">
        <f t="shared" si="6"/>
        <v>151</v>
      </c>
      <c r="AM25" s="610">
        <f t="shared" si="6"/>
        <v>154</v>
      </c>
      <c r="AN25" s="611">
        <f t="shared" si="7"/>
        <v>3</v>
      </c>
      <c r="AO25" s="612">
        <f t="shared" si="8"/>
        <v>1.948051948051948E-2</v>
      </c>
    </row>
    <row r="26" spans="1:41" x14ac:dyDescent="0.2">
      <c r="A26" s="502">
        <v>107</v>
      </c>
      <c r="B26" s="503">
        <v>0.375</v>
      </c>
      <c r="C26" s="504">
        <v>2013</v>
      </c>
      <c r="D26" s="504">
        <v>3</v>
      </c>
      <c r="E26" s="504">
        <v>24</v>
      </c>
      <c r="F26" s="505">
        <v>73026</v>
      </c>
      <c r="G26" s="504">
        <v>0</v>
      </c>
      <c r="H26" s="505">
        <v>157140</v>
      </c>
      <c r="I26" s="504">
        <v>0</v>
      </c>
      <c r="J26" s="504">
        <v>0</v>
      </c>
      <c r="K26" s="504">
        <v>0</v>
      </c>
      <c r="L26" s="506">
        <v>88.1006</v>
      </c>
      <c r="M26" s="505">
        <v>20.7</v>
      </c>
      <c r="N26" s="507">
        <v>0</v>
      </c>
      <c r="O26" s="508">
        <v>0</v>
      </c>
      <c r="P26" s="493">
        <f t="shared" si="0"/>
        <v>0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0</v>
      </c>
      <c r="W26" s="515">
        <f t="shared" si="10"/>
        <v>0</v>
      </c>
      <c r="Y26" s="513">
        <f t="shared" si="11"/>
        <v>0</v>
      </c>
      <c r="Z26" s="510">
        <f t="shared" si="12"/>
        <v>0</v>
      </c>
      <c r="AA26" s="511">
        <f t="shared" si="13"/>
        <v>0</v>
      </c>
      <c r="AE26" s="598" t="str">
        <f t="shared" si="3"/>
        <v>73026</v>
      </c>
      <c r="AF26" s="502">
        <v>107</v>
      </c>
      <c r="AG26" s="606">
        <v>24</v>
      </c>
      <c r="AH26" s="607">
        <v>73026</v>
      </c>
      <c r="AI26" s="608">
        <f t="shared" si="4"/>
        <v>73026</v>
      </c>
      <c r="AJ26" s="609">
        <f t="shared" si="5"/>
        <v>0</v>
      </c>
      <c r="AL26" s="602">
        <f t="shared" si="6"/>
        <v>0</v>
      </c>
      <c r="AM26" s="610">
        <f t="shared" si="6"/>
        <v>0</v>
      </c>
      <c r="AN26" s="611">
        <f t="shared" si="7"/>
        <v>0</v>
      </c>
      <c r="AO26" s="612" t="str">
        <f t="shared" si="8"/>
        <v/>
      </c>
    </row>
    <row r="27" spans="1:41" x14ac:dyDescent="0.2">
      <c r="A27" s="502">
        <v>107</v>
      </c>
      <c r="B27" s="503">
        <v>0.375</v>
      </c>
      <c r="C27" s="504">
        <v>2013</v>
      </c>
      <c r="D27" s="504">
        <v>3</v>
      </c>
      <c r="E27" s="504">
        <v>25</v>
      </c>
      <c r="F27" s="505">
        <v>73026</v>
      </c>
      <c r="G27" s="504">
        <v>0</v>
      </c>
      <c r="H27" s="505">
        <v>157140</v>
      </c>
      <c r="I27" s="504">
        <v>0</v>
      </c>
      <c r="J27" s="504">
        <v>0</v>
      </c>
      <c r="K27" s="504">
        <v>0</v>
      </c>
      <c r="L27" s="506">
        <v>87.697599999999994</v>
      </c>
      <c r="M27" s="505">
        <v>19.899999999999999</v>
      </c>
      <c r="N27" s="507">
        <v>0</v>
      </c>
      <c r="O27" s="508">
        <v>181</v>
      </c>
      <c r="P27" s="493">
        <f t="shared" si="0"/>
        <v>181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181</v>
      </c>
      <c r="W27" s="515">
        <f t="shared" si="10"/>
        <v>6391.9552699999995</v>
      </c>
      <c r="Y27" s="513">
        <f t="shared" si="11"/>
        <v>1.5842718968406637</v>
      </c>
      <c r="Z27" s="510">
        <f t="shared" si="12"/>
        <v>6.6330295776924899</v>
      </c>
      <c r="AA27" s="511">
        <f t="shared" si="13"/>
        <v>6.2868811679606962</v>
      </c>
      <c r="AE27" s="598" t="str">
        <f t="shared" si="3"/>
        <v>73026</v>
      </c>
      <c r="AF27" s="502">
        <v>107</v>
      </c>
      <c r="AG27" s="606">
        <v>25</v>
      </c>
      <c r="AH27" s="607">
        <v>73026</v>
      </c>
      <c r="AI27" s="608">
        <f t="shared" si="4"/>
        <v>73026</v>
      </c>
      <c r="AJ27" s="609">
        <f t="shared" si="5"/>
        <v>0</v>
      </c>
      <c r="AL27" s="602">
        <f t="shared" si="6"/>
        <v>187</v>
      </c>
      <c r="AM27" s="610">
        <f t="shared" si="6"/>
        <v>181</v>
      </c>
      <c r="AN27" s="611">
        <f t="shared" si="7"/>
        <v>-6</v>
      </c>
      <c r="AO27" s="612">
        <f t="shared" si="8"/>
        <v>-3.3149171270718231E-2</v>
      </c>
    </row>
    <row r="28" spans="1:41" x14ac:dyDescent="0.2">
      <c r="A28" s="502">
        <v>107</v>
      </c>
      <c r="B28" s="503">
        <v>0.375</v>
      </c>
      <c r="C28" s="504">
        <v>2013</v>
      </c>
      <c r="D28" s="504">
        <v>3</v>
      </c>
      <c r="E28" s="504">
        <v>26</v>
      </c>
      <c r="F28" s="505">
        <v>73207</v>
      </c>
      <c r="G28" s="504">
        <v>0</v>
      </c>
      <c r="H28" s="505">
        <v>157166</v>
      </c>
      <c r="I28" s="504">
        <v>0</v>
      </c>
      <c r="J28" s="504">
        <v>0</v>
      </c>
      <c r="K28" s="504">
        <v>0</v>
      </c>
      <c r="L28" s="506">
        <v>87.1203</v>
      </c>
      <c r="M28" s="505">
        <v>19</v>
      </c>
      <c r="N28" s="507">
        <v>0</v>
      </c>
      <c r="O28" s="508">
        <v>95</v>
      </c>
      <c r="P28" s="493">
        <f t="shared" si="0"/>
        <v>95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95</v>
      </c>
      <c r="W28" s="515">
        <f t="shared" si="10"/>
        <v>3354.89365</v>
      </c>
      <c r="Y28" s="513">
        <f t="shared" si="11"/>
        <v>0.83152392375614936</v>
      </c>
      <c r="Z28" s="510">
        <f t="shared" si="12"/>
        <v>3.4814243639822462</v>
      </c>
      <c r="AA28" s="511">
        <f t="shared" si="13"/>
        <v>3.2997442594268853</v>
      </c>
      <c r="AE28" s="598" t="str">
        <f t="shared" si="3"/>
        <v>73207</v>
      </c>
      <c r="AF28" s="502">
        <v>107</v>
      </c>
      <c r="AG28" s="606">
        <v>26</v>
      </c>
      <c r="AH28" s="607">
        <v>73213</v>
      </c>
      <c r="AI28" s="608">
        <f t="shared" si="4"/>
        <v>73207</v>
      </c>
      <c r="AJ28" s="609">
        <f t="shared" si="5"/>
        <v>-6</v>
      </c>
      <c r="AL28" s="602">
        <f t="shared" si="6"/>
        <v>88</v>
      </c>
      <c r="AM28" s="610">
        <f t="shared" si="6"/>
        <v>95</v>
      </c>
      <c r="AN28" s="611">
        <f t="shared" si="7"/>
        <v>7</v>
      </c>
      <c r="AO28" s="612">
        <f t="shared" si="8"/>
        <v>7.3684210526315783E-2</v>
      </c>
    </row>
    <row r="29" spans="1:41" x14ac:dyDescent="0.2">
      <c r="A29" s="502">
        <v>107</v>
      </c>
      <c r="B29" s="503">
        <v>0.375</v>
      </c>
      <c r="C29" s="504">
        <v>2013</v>
      </c>
      <c r="D29" s="504">
        <v>3</v>
      </c>
      <c r="E29" s="504">
        <v>27</v>
      </c>
      <c r="F29" s="505">
        <v>73302</v>
      </c>
      <c r="G29" s="504">
        <v>0</v>
      </c>
      <c r="H29" s="505">
        <v>157180</v>
      </c>
      <c r="I29" s="504">
        <v>0</v>
      </c>
      <c r="J29" s="504">
        <v>0</v>
      </c>
      <c r="K29" s="504">
        <v>0</v>
      </c>
      <c r="L29" s="506">
        <v>87.382999999999996</v>
      </c>
      <c r="M29" s="505">
        <v>17.100000000000001</v>
      </c>
      <c r="N29" s="507">
        <v>0</v>
      </c>
      <c r="O29" s="508">
        <v>0</v>
      </c>
      <c r="P29" s="493">
        <f t="shared" si="0"/>
        <v>0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0</v>
      </c>
      <c r="W29" s="515">
        <f t="shared" si="10"/>
        <v>0</v>
      </c>
      <c r="Y29" s="513">
        <f t="shared" si="11"/>
        <v>0</v>
      </c>
      <c r="Z29" s="510">
        <f t="shared" si="12"/>
        <v>0</v>
      </c>
      <c r="AA29" s="511">
        <f t="shared" si="13"/>
        <v>0</v>
      </c>
      <c r="AE29" s="598" t="str">
        <f t="shared" si="3"/>
        <v>73302</v>
      </c>
      <c r="AF29" s="502">
        <v>107</v>
      </c>
      <c r="AG29" s="606">
        <v>27</v>
      </c>
      <c r="AH29" s="607">
        <v>73301</v>
      </c>
      <c r="AI29" s="608">
        <f t="shared" si="4"/>
        <v>73302</v>
      </c>
      <c r="AJ29" s="609">
        <f t="shared" si="5"/>
        <v>1</v>
      </c>
      <c r="AL29" s="602">
        <f t="shared" si="6"/>
        <v>0</v>
      </c>
      <c r="AM29" s="610">
        <f t="shared" si="6"/>
        <v>0</v>
      </c>
      <c r="AN29" s="611">
        <f t="shared" si="7"/>
        <v>0</v>
      </c>
      <c r="AO29" s="612" t="str">
        <f t="shared" si="8"/>
        <v/>
      </c>
    </row>
    <row r="30" spans="1:41" x14ac:dyDescent="0.2">
      <c r="A30" s="502">
        <v>107</v>
      </c>
      <c r="B30" s="503">
        <v>0.375</v>
      </c>
      <c r="C30" s="504">
        <v>2013</v>
      </c>
      <c r="D30" s="504">
        <v>3</v>
      </c>
      <c r="E30" s="504">
        <v>28</v>
      </c>
      <c r="F30" s="505">
        <v>73302</v>
      </c>
      <c r="G30" s="504">
        <v>0</v>
      </c>
      <c r="H30" s="505">
        <v>157180</v>
      </c>
      <c r="I30" s="504">
        <v>0</v>
      </c>
      <c r="J30" s="504">
        <v>0</v>
      </c>
      <c r="K30" s="504">
        <v>0</v>
      </c>
      <c r="L30" s="506">
        <v>88.096199999999996</v>
      </c>
      <c r="M30" s="505">
        <v>19.600000000000001</v>
      </c>
      <c r="N30" s="507">
        <v>0</v>
      </c>
      <c r="O30" s="508">
        <v>0</v>
      </c>
      <c r="P30" s="493">
        <f t="shared" si="0"/>
        <v>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0</v>
      </c>
      <c r="W30" s="515">
        <f t="shared" si="10"/>
        <v>0</v>
      </c>
      <c r="Y30" s="513">
        <f t="shared" si="11"/>
        <v>0</v>
      </c>
      <c r="Z30" s="510">
        <f t="shared" si="12"/>
        <v>0</v>
      </c>
      <c r="AA30" s="511">
        <f t="shared" si="13"/>
        <v>0</v>
      </c>
      <c r="AE30" s="598" t="str">
        <f t="shared" si="3"/>
        <v>73302</v>
      </c>
      <c r="AF30" s="502">
        <v>107</v>
      </c>
      <c r="AG30" s="606">
        <v>28</v>
      </c>
      <c r="AH30" s="607">
        <v>73301</v>
      </c>
      <c r="AI30" s="608">
        <f t="shared" si="4"/>
        <v>73302</v>
      </c>
      <c r="AJ30" s="609">
        <f t="shared" si="5"/>
        <v>1</v>
      </c>
      <c r="AL30" s="602">
        <f t="shared" si="6"/>
        <v>0</v>
      </c>
      <c r="AM30" s="610">
        <f t="shared" si="6"/>
        <v>0</v>
      </c>
      <c r="AN30" s="611">
        <f t="shared" si="7"/>
        <v>0</v>
      </c>
      <c r="AO30" s="612" t="str">
        <f t="shared" si="8"/>
        <v/>
      </c>
    </row>
    <row r="31" spans="1:41" x14ac:dyDescent="0.2">
      <c r="A31" s="502">
        <v>107</v>
      </c>
      <c r="B31" s="503">
        <v>0.375</v>
      </c>
      <c r="C31" s="504">
        <v>2013</v>
      </c>
      <c r="D31" s="504">
        <v>3</v>
      </c>
      <c r="E31" s="504">
        <v>29</v>
      </c>
      <c r="F31" s="505">
        <v>73302</v>
      </c>
      <c r="G31" s="504">
        <v>0</v>
      </c>
      <c r="H31" s="505">
        <v>157180</v>
      </c>
      <c r="I31" s="504">
        <v>0</v>
      </c>
      <c r="J31" s="504">
        <v>0</v>
      </c>
      <c r="K31" s="504">
        <v>0</v>
      </c>
      <c r="L31" s="506">
        <v>89.4285</v>
      </c>
      <c r="M31" s="505">
        <v>19.399999999999999</v>
      </c>
      <c r="N31" s="507">
        <v>0</v>
      </c>
      <c r="O31" s="508">
        <v>0</v>
      </c>
      <c r="P31" s="493">
        <f t="shared" si="0"/>
        <v>0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0</v>
      </c>
      <c r="W31" s="515">
        <f t="shared" si="10"/>
        <v>0</v>
      </c>
      <c r="Y31" s="513">
        <f t="shared" si="11"/>
        <v>0</v>
      </c>
      <c r="Z31" s="510">
        <f t="shared" si="12"/>
        <v>0</v>
      </c>
      <c r="AA31" s="511">
        <f t="shared" si="13"/>
        <v>0</v>
      </c>
      <c r="AE31" s="598" t="str">
        <f t="shared" si="3"/>
        <v>73302</v>
      </c>
      <c r="AF31" s="502">
        <v>107</v>
      </c>
      <c r="AG31" s="606">
        <v>29</v>
      </c>
      <c r="AH31" s="607">
        <v>73301</v>
      </c>
      <c r="AI31" s="608">
        <f t="shared" si="4"/>
        <v>73302</v>
      </c>
      <c r="AJ31" s="609">
        <f t="shared" si="5"/>
        <v>1</v>
      </c>
      <c r="AL31" s="602">
        <f t="shared" si="6"/>
        <v>0</v>
      </c>
      <c r="AM31" s="610">
        <f t="shared" si="6"/>
        <v>0</v>
      </c>
      <c r="AN31" s="611">
        <f t="shared" si="7"/>
        <v>0</v>
      </c>
      <c r="AO31" s="612" t="str">
        <f t="shared" si="8"/>
        <v/>
      </c>
    </row>
    <row r="32" spans="1:41" x14ac:dyDescent="0.2">
      <c r="A32" s="502">
        <v>107</v>
      </c>
      <c r="B32" s="503">
        <v>0.375</v>
      </c>
      <c r="C32" s="504">
        <v>2013</v>
      </c>
      <c r="D32" s="504">
        <v>3</v>
      </c>
      <c r="E32" s="504">
        <v>30</v>
      </c>
      <c r="F32" s="505">
        <v>73302</v>
      </c>
      <c r="G32" s="504">
        <v>0</v>
      </c>
      <c r="H32" s="505">
        <v>157180</v>
      </c>
      <c r="I32" s="504">
        <v>0</v>
      </c>
      <c r="J32" s="504">
        <v>0</v>
      </c>
      <c r="K32" s="504">
        <v>0</v>
      </c>
      <c r="L32" s="506">
        <v>92.493300000000005</v>
      </c>
      <c r="M32" s="505">
        <v>21.8</v>
      </c>
      <c r="N32" s="507">
        <v>0</v>
      </c>
      <c r="O32" s="508">
        <v>0</v>
      </c>
      <c r="P32" s="493">
        <f t="shared" si="0"/>
        <v>0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0</v>
      </c>
      <c r="W32" s="515">
        <f t="shared" si="10"/>
        <v>0</v>
      </c>
      <c r="Y32" s="513">
        <f t="shared" si="11"/>
        <v>0</v>
      </c>
      <c r="Z32" s="510">
        <f t="shared" si="12"/>
        <v>0</v>
      </c>
      <c r="AA32" s="511">
        <f t="shared" si="13"/>
        <v>0</v>
      </c>
      <c r="AE32" s="598" t="str">
        <f t="shared" si="3"/>
        <v>73302</v>
      </c>
      <c r="AF32" s="502">
        <v>107</v>
      </c>
      <c r="AG32" s="606">
        <v>30</v>
      </c>
      <c r="AH32" s="607">
        <v>73301</v>
      </c>
      <c r="AI32" s="608">
        <f t="shared" si="4"/>
        <v>73302</v>
      </c>
      <c r="AJ32" s="609">
        <f t="shared" si="5"/>
        <v>1</v>
      </c>
      <c r="AL32" s="602">
        <f t="shared" si="6"/>
        <v>0</v>
      </c>
      <c r="AM32" s="610">
        <f t="shared" si="6"/>
        <v>0</v>
      </c>
      <c r="AN32" s="611">
        <f t="shared" si="7"/>
        <v>0</v>
      </c>
      <c r="AO32" s="612" t="str">
        <f t="shared" si="8"/>
        <v/>
      </c>
    </row>
    <row r="33" spans="1:41" ht="13.5" thickBot="1" x14ac:dyDescent="0.25">
      <c r="A33" s="502">
        <v>107</v>
      </c>
      <c r="B33" s="503">
        <v>0.375</v>
      </c>
      <c r="C33" s="504">
        <v>2013</v>
      </c>
      <c r="D33" s="504">
        <v>3</v>
      </c>
      <c r="E33" s="504">
        <v>31</v>
      </c>
      <c r="F33" s="505">
        <v>73302</v>
      </c>
      <c r="G33" s="504">
        <v>0</v>
      </c>
      <c r="H33" s="505">
        <v>157180</v>
      </c>
      <c r="I33" s="504">
        <v>0</v>
      </c>
      <c r="J33" s="504">
        <v>0</v>
      </c>
      <c r="K33" s="504">
        <v>0</v>
      </c>
      <c r="L33" s="506">
        <v>92.003399999999999</v>
      </c>
      <c r="M33" s="505">
        <v>22</v>
      </c>
      <c r="N33" s="507">
        <v>0</v>
      </c>
      <c r="O33" s="508">
        <v>117</v>
      </c>
      <c r="P33" s="493">
        <f t="shared" si="0"/>
        <v>117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117</v>
      </c>
      <c r="W33" s="519">
        <f t="shared" si="10"/>
        <v>4131.81639</v>
      </c>
      <c r="Y33" s="513">
        <f t="shared" si="11"/>
        <v>1.0240873587312576</v>
      </c>
      <c r="Z33" s="510">
        <f t="shared" si="12"/>
        <v>4.2876489535360296</v>
      </c>
      <c r="AA33" s="511">
        <f t="shared" si="13"/>
        <v>4.0638955616099528</v>
      </c>
      <c r="AE33" s="598" t="str">
        <f t="shared" si="3"/>
        <v>73302</v>
      </c>
      <c r="AF33" s="502">
        <v>107</v>
      </c>
      <c r="AG33" s="606">
        <v>31</v>
      </c>
      <c r="AH33" s="607">
        <v>73301</v>
      </c>
      <c r="AI33" s="608">
        <f t="shared" si="4"/>
        <v>73302</v>
      </c>
      <c r="AJ33" s="609">
        <f t="shared" si="5"/>
        <v>1</v>
      </c>
      <c r="AL33" s="602">
        <f t="shared" si="6"/>
        <v>117</v>
      </c>
      <c r="AM33" s="613">
        <f t="shared" si="6"/>
        <v>117</v>
      </c>
      <c r="AN33" s="611">
        <f t="shared" si="7"/>
        <v>0</v>
      </c>
      <c r="AO33" s="612">
        <f t="shared" si="8"/>
        <v>0</v>
      </c>
    </row>
    <row r="34" spans="1:41" ht="13.5" thickBot="1" x14ac:dyDescent="0.25">
      <c r="A34" s="148">
        <v>107</v>
      </c>
      <c r="B34" s="520">
        <v>0.375</v>
      </c>
      <c r="C34" s="146">
        <v>2013</v>
      </c>
      <c r="D34" s="146">
        <v>4</v>
      </c>
      <c r="E34" s="146">
        <v>1</v>
      </c>
      <c r="F34" s="521">
        <v>73419</v>
      </c>
      <c r="G34" s="146">
        <v>0</v>
      </c>
      <c r="H34" s="521">
        <v>157197</v>
      </c>
      <c r="I34" s="146">
        <v>0</v>
      </c>
      <c r="J34" s="146">
        <v>0</v>
      </c>
      <c r="K34" s="146">
        <v>0</v>
      </c>
      <c r="L34" s="522">
        <v>88.9375</v>
      </c>
      <c r="M34" s="521">
        <v>22.2</v>
      </c>
      <c r="N34" s="523">
        <v>0</v>
      </c>
      <c r="O34" s="524">
        <v>1103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73419</v>
      </c>
      <c r="AF34" s="148">
        <v>107</v>
      </c>
      <c r="AG34" s="614">
        <v>1</v>
      </c>
      <c r="AH34" s="615">
        <v>73418</v>
      </c>
      <c r="AI34" s="616">
        <f t="shared" si="4"/>
        <v>73419</v>
      </c>
      <c r="AJ34" s="617">
        <f t="shared" si="5"/>
        <v>1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323.97919999999999</v>
      </c>
      <c r="M36" s="535">
        <f>MAX(M3:M34)</f>
        <v>22.2</v>
      </c>
      <c r="N36" s="533" t="s">
        <v>68</v>
      </c>
      <c r="O36" s="535">
        <f>SUM(O3:O33)</f>
        <v>25317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25317</v>
      </c>
      <c r="W36" s="539">
        <f>SUM(W3:W33)</f>
        <v>894061.50038999983</v>
      </c>
      <c r="Y36" s="540">
        <f>SUM(Y3:Y33)</f>
        <v>220.12022587806115</v>
      </c>
      <c r="Z36" s="541">
        <f>SUM(Z3:Z33)</f>
        <v>921.59936170626622</v>
      </c>
      <c r="AA36" s="542">
        <f>SUM(AA3:AA33)</f>
        <v>873.50517642819636</v>
      </c>
      <c r="AF36" s="621" t="s">
        <v>208</v>
      </c>
      <c r="AG36" s="534">
        <f>COUNT(AG3:AG34)</f>
        <v>26</v>
      </c>
      <c r="AJ36" s="622">
        <f>SUM(AJ3:AJ33)</f>
        <v>404307</v>
      </c>
      <c r="AK36" s="623" t="s">
        <v>176</v>
      </c>
      <c r="AL36" s="624"/>
      <c r="AM36" s="624"/>
      <c r="AN36" s="622">
        <f>SUM(AN3:AN33)</f>
        <v>1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95.224928125000005</v>
      </c>
      <c r="M37" s="543">
        <f>AVERAGE(M3:M34)</f>
        <v>20</v>
      </c>
      <c r="N37" s="533" t="s">
        <v>172</v>
      </c>
      <c r="O37" s="544">
        <f>O36*35.31467</f>
        <v>894061.50038999994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6</v>
      </c>
      <c r="AN37" s="627">
        <f>IFERROR(AN36/SUM(AM3:AM33),"")</f>
        <v>3.9499150768258483E-5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86.591800000000006</v>
      </c>
      <c r="M38" s="544">
        <f>MIN(M3:M34)</f>
        <v>12.5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104.74742093750001</v>
      </c>
      <c r="M44" s="551">
        <f>M37*(1+$L$43)</f>
        <v>22</v>
      </c>
    </row>
    <row r="45" spans="1:41" x14ac:dyDescent="0.2">
      <c r="K45" s="550" t="s">
        <v>186</v>
      </c>
      <c r="L45" s="551">
        <f>L37*(1-$L$43)</f>
        <v>85.7024353125</v>
      </c>
      <c r="M45" s="551">
        <f>M37*(1-$L$43)</f>
        <v>18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439" priority="47" stopIfTrue="1" operator="lessThan">
      <formula>$L$45</formula>
    </cfRule>
    <cfRule type="cellIs" dxfId="1438" priority="48" stopIfTrue="1" operator="greaterThan">
      <formula>$L$44</formula>
    </cfRule>
  </conditionalFormatting>
  <conditionalFormatting sqref="M3:M34">
    <cfRule type="cellIs" dxfId="1437" priority="45" stopIfTrue="1" operator="lessThan">
      <formula>$M$45</formula>
    </cfRule>
    <cfRule type="cellIs" dxfId="1436" priority="46" stopIfTrue="1" operator="greaterThan">
      <formula>$M$44</formula>
    </cfRule>
  </conditionalFormatting>
  <conditionalFormatting sqref="O3:O34">
    <cfRule type="cellIs" dxfId="1435" priority="44" stopIfTrue="1" operator="lessThan">
      <formula>0</formula>
    </cfRule>
  </conditionalFormatting>
  <conditionalFormatting sqref="O3:O33">
    <cfRule type="cellIs" dxfId="1434" priority="43" stopIfTrue="1" operator="lessThan">
      <formula>0</formula>
    </cfRule>
  </conditionalFormatting>
  <conditionalFormatting sqref="O3">
    <cfRule type="cellIs" dxfId="1433" priority="42" stopIfTrue="1" operator="notEqual">
      <formula>$P$3</formula>
    </cfRule>
  </conditionalFormatting>
  <conditionalFormatting sqref="O4">
    <cfRule type="cellIs" dxfId="1432" priority="41" stopIfTrue="1" operator="notEqual">
      <formula>P$4</formula>
    </cfRule>
  </conditionalFormatting>
  <conditionalFormatting sqref="O5">
    <cfRule type="cellIs" dxfId="1431" priority="40" stopIfTrue="1" operator="notEqual">
      <formula>$P$5</formula>
    </cfRule>
  </conditionalFormatting>
  <conditionalFormatting sqref="O6">
    <cfRule type="cellIs" dxfId="1430" priority="39" stopIfTrue="1" operator="notEqual">
      <formula>$P$6</formula>
    </cfRule>
  </conditionalFormatting>
  <conditionalFormatting sqref="O7">
    <cfRule type="cellIs" dxfId="1429" priority="38" stopIfTrue="1" operator="notEqual">
      <formula>$P$7</formula>
    </cfRule>
  </conditionalFormatting>
  <conditionalFormatting sqref="O8">
    <cfRule type="cellIs" dxfId="1428" priority="37" stopIfTrue="1" operator="notEqual">
      <formula>$P$8</formula>
    </cfRule>
  </conditionalFormatting>
  <conditionalFormatting sqref="O9">
    <cfRule type="cellIs" dxfId="1427" priority="36" stopIfTrue="1" operator="notEqual">
      <formula>$P$9</formula>
    </cfRule>
  </conditionalFormatting>
  <conditionalFormatting sqref="O10">
    <cfRule type="cellIs" dxfId="1426" priority="34" stopIfTrue="1" operator="notEqual">
      <formula>$P$10</formula>
    </cfRule>
    <cfRule type="cellIs" dxfId="1425" priority="35" stopIfTrue="1" operator="greaterThan">
      <formula>$P$10</formula>
    </cfRule>
  </conditionalFormatting>
  <conditionalFormatting sqref="O11">
    <cfRule type="cellIs" dxfId="1424" priority="32" stopIfTrue="1" operator="notEqual">
      <formula>$P$11</formula>
    </cfRule>
    <cfRule type="cellIs" dxfId="1423" priority="33" stopIfTrue="1" operator="greaterThan">
      <formula>$P$11</formula>
    </cfRule>
  </conditionalFormatting>
  <conditionalFormatting sqref="O12">
    <cfRule type="cellIs" dxfId="1422" priority="31" stopIfTrue="1" operator="notEqual">
      <formula>$P$12</formula>
    </cfRule>
  </conditionalFormatting>
  <conditionalFormatting sqref="O14">
    <cfRule type="cellIs" dxfId="1421" priority="30" stopIfTrue="1" operator="notEqual">
      <formula>$P$14</formula>
    </cfRule>
  </conditionalFormatting>
  <conditionalFormatting sqref="O15">
    <cfRule type="cellIs" dxfId="1420" priority="29" stopIfTrue="1" operator="notEqual">
      <formula>$P$15</formula>
    </cfRule>
  </conditionalFormatting>
  <conditionalFormatting sqref="O16">
    <cfRule type="cellIs" dxfId="1419" priority="28" stopIfTrue="1" operator="notEqual">
      <formula>$P$16</formula>
    </cfRule>
  </conditionalFormatting>
  <conditionalFormatting sqref="O17">
    <cfRule type="cellIs" dxfId="1418" priority="27" stopIfTrue="1" operator="notEqual">
      <formula>$P$17</formula>
    </cfRule>
  </conditionalFormatting>
  <conditionalFormatting sqref="O18">
    <cfRule type="cellIs" dxfId="1417" priority="26" stopIfTrue="1" operator="notEqual">
      <formula>$P$18</formula>
    </cfRule>
  </conditionalFormatting>
  <conditionalFormatting sqref="O19">
    <cfRule type="cellIs" dxfId="1416" priority="24" stopIfTrue="1" operator="notEqual">
      <formula>$P$19</formula>
    </cfRule>
    <cfRule type="cellIs" dxfId="1415" priority="25" stopIfTrue="1" operator="greaterThan">
      <formula>$P$19</formula>
    </cfRule>
  </conditionalFormatting>
  <conditionalFormatting sqref="O20">
    <cfRule type="cellIs" dxfId="1414" priority="22" stopIfTrue="1" operator="notEqual">
      <formula>$P$20</formula>
    </cfRule>
    <cfRule type="cellIs" dxfId="1413" priority="23" stopIfTrue="1" operator="greaterThan">
      <formula>$P$20</formula>
    </cfRule>
  </conditionalFormatting>
  <conditionalFormatting sqref="O21">
    <cfRule type="cellIs" dxfId="1412" priority="21" stopIfTrue="1" operator="notEqual">
      <formula>$P$21</formula>
    </cfRule>
  </conditionalFormatting>
  <conditionalFormatting sqref="O22">
    <cfRule type="cellIs" dxfId="1411" priority="20" stopIfTrue="1" operator="notEqual">
      <formula>$P$22</formula>
    </cfRule>
  </conditionalFormatting>
  <conditionalFormatting sqref="O23">
    <cfRule type="cellIs" dxfId="1410" priority="19" stopIfTrue="1" operator="notEqual">
      <formula>$P$23</formula>
    </cfRule>
  </conditionalFormatting>
  <conditionalFormatting sqref="O24">
    <cfRule type="cellIs" dxfId="1409" priority="17" stopIfTrue="1" operator="notEqual">
      <formula>$P$24</formula>
    </cfRule>
    <cfRule type="cellIs" dxfId="1408" priority="18" stopIfTrue="1" operator="greaterThan">
      <formula>$P$24</formula>
    </cfRule>
  </conditionalFormatting>
  <conditionalFormatting sqref="O25">
    <cfRule type="cellIs" dxfId="1407" priority="15" stopIfTrue="1" operator="notEqual">
      <formula>$P$25</formula>
    </cfRule>
    <cfRule type="cellIs" dxfId="1406" priority="16" stopIfTrue="1" operator="greaterThan">
      <formula>$P$25</formula>
    </cfRule>
  </conditionalFormatting>
  <conditionalFormatting sqref="O26">
    <cfRule type="cellIs" dxfId="1405" priority="14" stopIfTrue="1" operator="notEqual">
      <formula>$P$26</formula>
    </cfRule>
  </conditionalFormatting>
  <conditionalFormatting sqref="O27">
    <cfRule type="cellIs" dxfId="1404" priority="13" stopIfTrue="1" operator="notEqual">
      <formula>$P$27</formula>
    </cfRule>
  </conditionalFormatting>
  <conditionalFormatting sqref="O28">
    <cfRule type="cellIs" dxfId="1403" priority="12" stopIfTrue="1" operator="notEqual">
      <formula>$P$28</formula>
    </cfRule>
  </conditionalFormatting>
  <conditionalFormatting sqref="O29">
    <cfRule type="cellIs" dxfId="1402" priority="11" stopIfTrue="1" operator="notEqual">
      <formula>$P$29</formula>
    </cfRule>
  </conditionalFormatting>
  <conditionalFormatting sqref="O30">
    <cfRule type="cellIs" dxfId="1401" priority="10" stopIfTrue="1" operator="notEqual">
      <formula>$P$30</formula>
    </cfRule>
  </conditionalFormatting>
  <conditionalFormatting sqref="O31">
    <cfRule type="cellIs" dxfId="1400" priority="8" stopIfTrue="1" operator="notEqual">
      <formula>$P$31</formula>
    </cfRule>
    <cfRule type="cellIs" dxfId="1399" priority="9" stopIfTrue="1" operator="greaterThan">
      <formula>$P$31</formula>
    </cfRule>
  </conditionalFormatting>
  <conditionalFormatting sqref="O32">
    <cfRule type="cellIs" dxfId="1398" priority="6" stopIfTrue="1" operator="notEqual">
      <formula>$P$32</formula>
    </cfRule>
    <cfRule type="cellIs" dxfId="1397" priority="7" stopIfTrue="1" operator="greaterThan">
      <formula>$P$32</formula>
    </cfRule>
  </conditionalFormatting>
  <conditionalFormatting sqref="O33">
    <cfRule type="cellIs" dxfId="1396" priority="5" stopIfTrue="1" operator="notEqual">
      <formula>$P$33</formula>
    </cfRule>
  </conditionalFormatting>
  <conditionalFormatting sqref="O13">
    <cfRule type="cellIs" dxfId="1395" priority="4" stopIfTrue="1" operator="notEqual">
      <formula>$P$13</formula>
    </cfRule>
  </conditionalFormatting>
  <conditionalFormatting sqref="AG3:AG34">
    <cfRule type="cellIs" dxfId="1394" priority="3" stopIfTrue="1" operator="notEqual">
      <formula>E3</formula>
    </cfRule>
  </conditionalFormatting>
  <conditionalFormatting sqref="AH3:AH34">
    <cfRule type="cellIs" dxfId="1393" priority="2" stopIfTrue="1" operator="notBetween">
      <formula>AI3+$AG$40</formula>
      <formula>AI3-$AG$40</formula>
    </cfRule>
  </conditionalFormatting>
  <conditionalFormatting sqref="AL3:AL33">
    <cfRule type="cellIs" dxfId="13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105</v>
      </c>
      <c r="B3" s="487">
        <v>0.375</v>
      </c>
      <c r="C3" s="488">
        <v>2013</v>
      </c>
      <c r="D3" s="488">
        <v>3</v>
      </c>
      <c r="E3" s="488">
        <v>1</v>
      </c>
      <c r="F3" s="489">
        <v>428951</v>
      </c>
      <c r="G3" s="488">
        <v>0</v>
      </c>
      <c r="H3" s="489">
        <v>681317</v>
      </c>
      <c r="I3" s="488">
        <v>0</v>
      </c>
      <c r="J3" s="488">
        <v>0</v>
      </c>
      <c r="K3" s="488">
        <v>0</v>
      </c>
      <c r="L3" s="490">
        <v>309.67869999999999</v>
      </c>
      <c r="M3" s="489">
        <v>21.8</v>
      </c>
      <c r="N3" s="491">
        <v>0</v>
      </c>
      <c r="O3" s="492">
        <v>11727</v>
      </c>
      <c r="P3" s="493">
        <f>F4-F3</f>
        <v>11727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11727</v>
      </c>
      <c r="W3" s="498">
        <f>V3*35.31467</f>
        <v>414135.13509</v>
      </c>
      <c r="X3" s="497"/>
      <c r="Y3" s="499">
        <f>V3*R3/1000000</f>
        <v>101.14208219309694</v>
      </c>
      <c r="Z3" s="500">
        <f>S3*V3/1000000</f>
        <v>423.46166972605818</v>
      </c>
      <c r="AA3" s="501">
        <f>W3*T3/1000000</f>
        <v>401.36308236998656</v>
      </c>
      <c r="AE3" s="598" t="str">
        <f>RIGHT(F3,6)</f>
        <v>428951</v>
      </c>
      <c r="AF3" s="486"/>
      <c r="AG3" s="491"/>
      <c r="AH3" s="599"/>
      <c r="AI3" s="600">
        <f>IFERROR(AE3*1,0)</f>
        <v>428951</v>
      </c>
      <c r="AJ3" s="601">
        <f>(AI3-AH3)</f>
        <v>428951</v>
      </c>
      <c r="AL3" s="602">
        <f>AH4-AH3</f>
        <v>0</v>
      </c>
      <c r="AM3" s="603">
        <f>AI4-AI3</f>
        <v>11727</v>
      </c>
      <c r="AN3" s="604">
        <f>(AM3-AL3)</f>
        <v>11727</v>
      </c>
      <c r="AO3" s="605">
        <f>IFERROR(AN3/AM3,"")</f>
        <v>1</v>
      </c>
    </row>
    <row r="4" spans="1:41" x14ac:dyDescent="0.2">
      <c r="A4" s="502">
        <v>105</v>
      </c>
      <c r="B4" s="503">
        <v>0.375</v>
      </c>
      <c r="C4" s="504">
        <v>2013</v>
      </c>
      <c r="D4" s="504">
        <v>3</v>
      </c>
      <c r="E4" s="504">
        <v>2</v>
      </c>
      <c r="F4" s="505">
        <v>440678</v>
      </c>
      <c r="G4" s="504">
        <v>0</v>
      </c>
      <c r="H4" s="505">
        <v>682335</v>
      </c>
      <c r="I4" s="504">
        <v>0</v>
      </c>
      <c r="J4" s="504">
        <v>0</v>
      </c>
      <c r="K4" s="504">
        <v>0</v>
      </c>
      <c r="L4" s="506">
        <v>310.69110000000001</v>
      </c>
      <c r="M4" s="505">
        <v>20.7</v>
      </c>
      <c r="N4" s="507">
        <v>0</v>
      </c>
      <c r="O4" s="508">
        <v>11772</v>
      </c>
      <c r="P4" s="493">
        <f t="shared" ref="P4:P33" si="0">F5-F4</f>
        <v>11772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11772</v>
      </c>
      <c r="W4" s="512">
        <f>V4*35.31467</f>
        <v>415724.29524000001</v>
      </c>
      <c r="X4" s="497"/>
      <c r="Y4" s="513">
        <f>V4*R4/1000000</f>
        <v>101.44125370410424</v>
      </c>
      <c r="Z4" s="510">
        <f>S4*V4/1000000</f>
        <v>424.71424100834366</v>
      </c>
      <c r="AA4" s="511">
        <f>W4*T4/1000000</f>
        <v>402.55028750964283</v>
      </c>
      <c r="AE4" s="598" t="str">
        <f t="shared" ref="AE4:AE34" si="3">RIGHT(F4,6)</f>
        <v>440678</v>
      </c>
      <c r="AF4" s="502"/>
      <c r="AG4" s="606"/>
      <c r="AH4" s="607"/>
      <c r="AI4" s="608">
        <f t="shared" ref="AI4:AI34" si="4">IFERROR(AE4*1,0)</f>
        <v>440678</v>
      </c>
      <c r="AJ4" s="609">
        <f t="shared" ref="AJ4:AJ34" si="5">(AI4-AH4)</f>
        <v>440678</v>
      </c>
      <c r="AL4" s="602">
        <f t="shared" ref="AL4:AM33" si="6">AH5-AH4</f>
        <v>0</v>
      </c>
      <c r="AM4" s="610">
        <f t="shared" si="6"/>
        <v>11772</v>
      </c>
      <c r="AN4" s="611">
        <f t="shared" ref="AN4:AN33" si="7">(AM4-AL4)</f>
        <v>11772</v>
      </c>
      <c r="AO4" s="612">
        <f t="shared" ref="AO4:AO33" si="8">IFERROR(AN4/AM4,"")</f>
        <v>1</v>
      </c>
    </row>
    <row r="5" spans="1:41" x14ac:dyDescent="0.2">
      <c r="A5" s="502">
        <v>105</v>
      </c>
      <c r="B5" s="503">
        <v>0.375</v>
      </c>
      <c r="C5" s="504">
        <v>2013</v>
      </c>
      <c r="D5" s="504">
        <v>3</v>
      </c>
      <c r="E5" s="504">
        <v>3</v>
      </c>
      <c r="F5" s="505">
        <v>452450</v>
      </c>
      <c r="G5" s="504">
        <v>0</v>
      </c>
      <c r="H5" s="505">
        <v>682841</v>
      </c>
      <c r="I5" s="504">
        <v>0</v>
      </c>
      <c r="J5" s="504">
        <v>0</v>
      </c>
      <c r="K5" s="504">
        <v>0</v>
      </c>
      <c r="L5" s="506">
        <v>316.34469999999999</v>
      </c>
      <c r="M5" s="505">
        <v>19.600000000000001</v>
      </c>
      <c r="N5" s="507">
        <v>0</v>
      </c>
      <c r="O5" s="508">
        <v>10242</v>
      </c>
      <c r="P5" s="493">
        <f t="shared" si="0"/>
        <v>10242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10242</v>
      </c>
      <c r="W5" s="512">
        <f t="shared" ref="W5:W33" si="10">V5*35.31467</f>
        <v>361692.85014</v>
      </c>
      <c r="X5" s="497"/>
      <c r="Y5" s="513">
        <f t="shared" ref="Y5:Y33" si="11">V5*R5/1000000</f>
        <v>88.492696710418414</v>
      </c>
      <c r="Z5" s="510">
        <f t="shared" ref="Z5:Z33" si="12">S5*V5/1000000</f>
        <v>370.50122258717983</v>
      </c>
      <c r="AA5" s="511">
        <f t="shared" ref="AA5:AA33" si="13">W5*T5/1000000</f>
        <v>351.1664061959566</v>
      </c>
      <c r="AE5" s="598" t="str">
        <f t="shared" si="3"/>
        <v>452450</v>
      </c>
      <c r="AF5" s="502"/>
      <c r="AG5" s="606"/>
      <c r="AH5" s="607"/>
      <c r="AI5" s="608">
        <f t="shared" si="4"/>
        <v>452450</v>
      </c>
      <c r="AJ5" s="609">
        <f t="shared" si="5"/>
        <v>452450</v>
      </c>
      <c r="AL5" s="602">
        <f t="shared" si="6"/>
        <v>462694</v>
      </c>
      <c r="AM5" s="610">
        <f t="shared" si="6"/>
        <v>10242</v>
      </c>
      <c r="AN5" s="611">
        <f t="shared" si="7"/>
        <v>-452452</v>
      </c>
      <c r="AO5" s="612">
        <f t="shared" si="8"/>
        <v>-44.176137473149772</v>
      </c>
    </row>
    <row r="6" spans="1:41" x14ac:dyDescent="0.2">
      <c r="A6" s="502">
        <v>105</v>
      </c>
      <c r="B6" s="503">
        <v>0.375</v>
      </c>
      <c r="C6" s="504">
        <v>2013</v>
      </c>
      <c r="D6" s="504">
        <v>3</v>
      </c>
      <c r="E6" s="504">
        <v>4</v>
      </c>
      <c r="F6" s="505">
        <v>462692</v>
      </c>
      <c r="G6" s="504">
        <v>0</v>
      </c>
      <c r="H6" s="505">
        <v>683282</v>
      </c>
      <c r="I6" s="504">
        <v>0</v>
      </c>
      <c r="J6" s="504">
        <v>0</v>
      </c>
      <c r="K6" s="504">
        <v>0</v>
      </c>
      <c r="L6" s="506">
        <v>316.67520000000002</v>
      </c>
      <c r="M6" s="505">
        <v>21</v>
      </c>
      <c r="N6" s="507">
        <v>0</v>
      </c>
      <c r="O6" s="508">
        <v>11912</v>
      </c>
      <c r="P6" s="493">
        <f t="shared" si="0"/>
        <v>11912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11912</v>
      </c>
      <c r="W6" s="512">
        <f t="shared" si="10"/>
        <v>420668.34904</v>
      </c>
      <c r="X6" s="497"/>
      <c r="Y6" s="513">
        <f t="shared" si="11"/>
        <v>103.28937918655556</v>
      </c>
      <c r="Z6" s="510">
        <f t="shared" si="12"/>
        <v>432.45197277827077</v>
      </c>
      <c r="AA6" s="511">
        <f t="shared" si="13"/>
        <v>409.88422135952163</v>
      </c>
      <c r="AE6" s="598" t="str">
        <f t="shared" si="3"/>
        <v>462692</v>
      </c>
      <c r="AF6" s="502">
        <v>105</v>
      </c>
      <c r="AG6" s="606">
        <v>4</v>
      </c>
      <c r="AH6" s="607">
        <v>462694</v>
      </c>
      <c r="AI6" s="608">
        <f t="shared" si="4"/>
        <v>462692</v>
      </c>
      <c r="AJ6" s="609">
        <f t="shared" si="5"/>
        <v>-2</v>
      </c>
      <c r="AL6" s="602">
        <f t="shared" si="6"/>
        <v>11910</v>
      </c>
      <c r="AM6" s="610">
        <f t="shared" si="6"/>
        <v>11912</v>
      </c>
      <c r="AN6" s="611">
        <f t="shared" si="7"/>
        <v>2</v>
      </c>
      <c r="AO6" s="612">
        <f t="shared" si="8"/>
        <v>1.6789791806581599E-4</v>
      </c>
    </row>
    <row r="7" spans="1:41" x14ac:dyDescent="0.2">
      <c r="A7" s="502">
        <v>105</v>
      </c>
      <c r="B7" s="503">
        <v>0.375</v>
      </c>
      <c r="C7" s="504">
        <v>2013</v>
      </c>
      <c r="D7" s="504">
        <v>3</v>
      </c>
      <c r="E7" s="504">
        <v>5</v>
      </c>
      <c r="F7" s="505">
        <v>474604</v>
      </c>
      <c r="G7" s="504">
        <v>0</v>
      </c>
      <c r="H7" s="505">
        <v>683813</v>
      </c>
      <c r="I7" s="504">
        <v>0</v>
      </c>
      <c r="J7" s="504">
        <v>0</v>
      </c>
      <c r="K7" s="504">
        <v>0</v>
      </c>
      <c r="L7" s="506">
        <v>307.69040000000001</v>
      </c>
      <c r="M7" s="505">
        <v>21.2</v>
      </c>
      <c r="N7" s="507">
        <v>0</v>
      </c>
      <c r="O7" s="508">
        <v>11520</v>
      </c>
      <c r="P7" s="493">
        <f t="shared" si="0"/>
        <v>11520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11520</v>
      </c>
      <c r="W7" s="512">
        <f t="shared" si="10"/>
        <v>406824.99839999998</v>
      </c>
      <c r="X7" s="497"/>
      <c r="Y7" s="513">
        <f t="shared" si="11"/>
        <v>99.80700553613292</v>
      </c>
      <c r="Z7" s="510">
        <f t="shared" si="12"/>
        <v>417.8719707786812</v>
      </c>
      <c r="AA7" s="511">
        <f t="shared" si="13"/>
        <v>396.06508503178395</v>
      </c>
      <c r="AE7" s="598" t="str">
        <f t="shared" si="3"/>
        <v>474604</v>
      </c>
      <c r="AF7" s="502">
        <v>105</v>
      </c>
      <c r="AG7" s="606">
        <v>5</v>
      </c>
      <c r="AH7" s="607">
        <v>474604</v>
      </c>
      <c r="AI7" s="608">
        <f t="shared" si="4"/>
        <v>474604</v>
      </c>
      <c r="AJ7" s="609">
        <f t="shared" si="5"/>
        <v>0</v>
      </c>
      <c r="AL7" s="602">
        <f t="shared" si="6"/>
        <v>11520</v>
      </c>
      <c r="AM7" s="610">
        <f t="shared" si="6"/>
        <v>11520</v>
      </c>
      <c r="AN7" s="611">
        <f t="shared" si="7"/>
        <v>0</v>
      </c>
      <c r="AO7" s="612">
        <f t="shared" si="8"/>
        <v>0</v>
      </c>
    </row>
    <row r="8" spans="1:41" x14ac:dyDescent="0.2">
      <c r="A8" s="502">
        <v>105</v>
      </c>
      <c r="B8" s="503">
        <v>0.375</v>
      </c>
      <c r="C8" s="504">
        <v>2013</v>
      </c>
      <c r="D8" s="504">
        <v>3</v>
      </c>
      <c r="E8" s="504">
        <v>6</v>
      </c>
      <c r="F8" s="505">
        <v>486124</v>
      </c>
      <c r="G8" s="504">
        <v>0</v>
      </c>
      <c r="H8" s="505">
        <v>684310</v>
      </c>
      <c r="I8" s="504">
        <v>0</v>
      </c>
      <c r="J8" s="504">
        <v>0</v>
      </c>
      <c r="K8" s="504">
        <v>0</v>
      </c>
      <c r="L8" s="506">
        <v>318.05009999999999</v>
      </c>
      <c r="M8" s="505">
        <v>21.1</v>
      </c>
      <c r="N8" s="507">
        <v>0</v>
      </c>
      <c r="O8" s="508">
        <v>11426</v>
      </c>
      <c r="P8" s="493">
        <f t="shared" si="0"/>
        <v>11426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11426</v>
      </c>
      <c r="W8" s="512">
        <f t="shared" si="10"/>
        <v>403505.41941999999</v>
      </c>
      <c r="X8" s="497"/>
      <c r="Y8" s="513">
        <f t="shared" si="11"/>
        <v>99.146264494287891</v>
      </c>
      <c r="Z8" s="510">
        <f t="shared" si="12"/>
        <v>415.10558018468453</v>
      </c>
      <c r="AA8" s="511">
        <f t="shared" si="13"/>
        <v>393.44306009960025</v>
      </c>
      <c r="AE8" s="598" t="str">
        <f t="shared" si="3"/>
        <v>486124</v>
      </c>
      <c r="AF8" s="502">
        <v>105</v>
      </c>
      <c r="AG8" s="606">
        <v>6</v>
      </c>
      <c r="AH8" s="607">
        <v>486124</v>
      </c>
      <c r="AI8" s="608">
        <f t="shared" si="4"/>
        <v>486124</v>
      </c>
      <c r="AJ8" s="609">
        <f t="shared" si="5"/>
        <v>0</v>
      </c>
      <c r="AL8" s="602">
        <f t="shared" si="6"/>
        <v>11426</v>
      </c>
      <c r="AM8" s="610">
        <f t="shared" si="6"/>
        <v>11426</v>
      </c>
      <c r="AN8" s="611">
        <f t="shared" si="7"/>
        <v>0</v>
      </c>
      <c r="AO8" s="612">
        <f t="shared" si="8"/>
        <v>0</v>
      </c>
    </row>
    <row r="9" spans="1:41" x14ac:dyDescent="0.2">
      <c r="A9" s="502">
        <v>105</v>
      </c>
      <c r="B9" s="503">
        <v>0.375</v>
      </c>
      <c r="C9" s="504">
        <v>2013</v>
      </c>
      <c r="D9" s="504">
        <v>3</v>
      </c>
      <c r="E9" s="504">
        <v>7</v>
      </c>
      <c r="F9" s="505">
        <v>497550</v>
      </c>
      <c r="G9" s="504">
        <v>0</v>
      </c>
      <c r="H9" s="505">
        <v>684797</v>
      </c>
      <c r="I9" s="504">
        <v>0</v>
      </c>
      <c r="J9" s="504">
        <v>0</v>
      </c>
      <c r="K9" s="504">
        <v>0</v>
      </c>
      <c r="L9" s="506">
        <v>321.33819999999997</v>
      </c>
      <c r="M9" s="505">
        <v>21.4</v>
      </c>
      <c r="N9" s="507">
        <v>0</v>
      </c>
      <c r="O9" s="508">
        <v>11171</v>
      </c>
      <c r="P9" s="493">
        <f t="shared" si="0"/>
        <v>11171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11171</v>
      </c>
      <c r="W9" s="512">
        <f t="shared" si="10"/>
        <v>394500.17856999999</v>
      </c>
      <c r="X9" s="497"/>
      <c r="Y9" s="513">
        <f t="shared" si="11"/>
        <v>97.011459034552331</v>
      </c>
      <c r="Z9" s="510">
        <f t="shared" si="12"/>
        <v>406.16757668586365</v>
      </c>
      <c r="AA9" s="511">
        <f t="shared" si="13"/>
        <v>384.97149138160705</v>
      </c>
      <c r="AE9" s="598" t="str">
        <f t="shared" si="3"/>
        <v>497550</v>
      </c>
      <c r="AF9" s="502">
        <v>105</v>
      </c>
      <c r="AG9" s="606">
        <v>7</v>
      </c>
      <c r="AH9" s="607">
        <v>497550</v>
      </c>
      <c r="AI9" s="608">
        <f t="shared" si="4"/>
        <v>497550</v>
      </c>
      <c r="AJ9" s="609">
        <f t="shared" si="5"/>
        <v>0</v>
      </c>
      <c r="AL9" s="602">
        <f t="shared" si="6"/>
        <v>11173</v>
      </c>
      <c r="AM9" s="610">
        <f t="shared" si="6"/>
        <v>11171</v>
      </c>
      <c r="AN9" s="611">
        <f t="shared" si="7"/>
        <v>-2</v>
      </c>
      <c r="AO9" s="612">
        <f t="shared" si="8"/>
        <v>-1.7903500134276251E-4</v>
      </c>
    </row>
    <row r="10" spans="1:41" x14ac:dyDescent="0.2">
      <c r="A10" s="502">
        <v>105</v>
      </c>
      <c r="B10" s="503">
        <v>0.375</v>
      </c>
      <c r="C10" s="504">
        <v>2013</v>
      </c>
      <c r="D10" s="504">
        <v>3</v>
      </c>
      <c r="E10" s="504">
        <v>8</v>
      </c>
      <c r="F10" s="505">
        <v>508721</v>
      </c>
      <c r="G10" s="504">
        <v>0</v>
      </c>
      <c r="H10" s="505">
        <v>685275</v>
      </c>
      <c r="I10" s="504">
        <v>0</v>
      </c>
      <c r="J10" s="504">
        <v>0</v>
      </c>
      <c r="K10" s="504">
        <v>0</v>
      </c>
      <c r="L10" s="506">
        <v>320.30739999999997</v>
      </c>
      <c r="M10" s="505">
        <v>21.6</v>
      </c>
      <c r="N10" s="507">
        <v>0</v>
      </c>
      <c r="O10" s="508">
        <v>11330</v>
      </c>
      <c r="P10" s="493">
        <f t="shared" si="0"/>
        <v>11330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11330</v>
      </c>
      <c r="W10" s="512">
        <f t="shared" si="10"/>
        <v>400115.21110000001</v>
      </c>
      <c r="X10" s="497"/>
      <c r="Y10" s="513">
        <f t="shared" si="11"/>
        <v>98.349018545299614</v>
      </c>
      <c r="Z10" s="510">
        <f t="shared" si="12"/>
        <v>411.76767084546049</v>
      </c>
      <c r="AA10" s="511">
        <f t="shared" si="13"/>
        <v>390.2793414519852</v>
      </c>
      <c r="AE10" s="598" t="str">
        <f t="shared" si="3"/>
        <v>508721</v>
      </c>
      <c r="AF10" s="502">
        <v>105</v>
      </c>
      <c r="AG10" s="606">
        <v>8</v>
      </c>
      <c r="AH10" s="607">
        <v>508723</v>
      </c>
      <c r="AI10" s="608">
        <f t="shared" si="4"/>
        <v>508721</v>
      </c>
      <c r="AJ10" s="609">
        <f t="shared" si="5"/>
        <v>-2</v>
      </c>
      <c r="AL10" s="602">
        <f t="shared" si="6"/>
        <v>11329</v>
      </c>
      <c r="AM10" s="610">
        <f t="shared" si="6"/>
        <v>11330</v>
      </c>
      <c r="AN10" s="611">
        <f t="shared" si="7"/>
        <v>1</v>
      </c>
      <c r="AO10" s="612">
        <f t="shared" si="8"/>
        <v>8.8261253309796994E-5</v>
      </c>
    </row>
    <row r="11" spans="1:41" x14ac:dyDescent="0.2">
      <c r="A11" s="502">
        <v>105</v>
      </c>
      <c r="B11" s="503">
        <v>0.375</v>
      </c>
      <c r="C11" s="504">
        <v>2013</v>
      </c>
      <c r="D11" s="504">
        <v>3</v>
      </c>
      <c r="E11" s="504">
        <v>9</v>
      </c>
      <c r="F11" s="505">
        <v>520051</v>
      </c>
      <c r="G11" s="504">
        <v>0</v>
      </c>
      <c r="H11" s="505">
        <v>685760</v>
      </c>
      <c r="I11" s="504">
        <v>0</v>
      </c>
      <c r="J11" s="504">
        <v>0</v>
      </c>
      <c r="K11" s="504">
        <v>0</v>
      </c>
      <c r="L11" s="506">
        <v>320.12479999999999</v>
      </c>
      <c r="M11" s="505">
        <v>21.7</v>
      </c>
      <c r="N11" s="507">
        <v>0</v>
      </c>
      <c r="O11" s="508">
        <v>11099</v>
      </c>
      <c r="P11" s="493">
        <f t="shared" si="0"/>
        <v>11099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11099</v>
      </c>
      <c r="W11" s="515">
        <f t="shared" si="10"/>
        <v>391957.52233000001</v>
      </c>
      <c r="Y11" s="513">
        <f t="shared" si="11"/>
        <v>96.412548849672618</v>
      </c>
      <c r="Z11" s="510">
        <f t="shared" si="12"/>
        <v>403.66005952380925</v>
      </c>
      <c r="AA11" s="511">
        <f t="shared" si="13"/>
        <v>382.59483042452706</v>
      </c>
      <c r="AE11" s="598" t="str">
        <f t="shared" si="3"/>
        <v>520051</v>
      </c>
      <c r="AF11" s="502">
        <v>105</v>
      </c>
      <c r="AG11" s="606">
        <v>9</v>
      </c>
      <c r="AH11" s="607">
        <v>520052</v>
      </c>
      <c r="AI11" s="608">
        <f t="shared" si="4"/>
        <v>520051</v>
      </c>
      <c r="AJ11" s="609">
        <f t="shared" si="5"/>
        <v>-1</v>
      </c>
      <c r="AL11" s="602">
        <f t="shared" si="6"/>
        <v>11097</v>
      </c>
      <c r="AM11" s="610">
        <f t="shared" si="6"/>
        <v>11099</v>
      </c>
      <c r="AN11" s="611">
        <f t="shared" si="7"/>
        <v>2</v>
      </c>
      <c r="AO11" s="612">
        <f t="shared" si="8"/>
        <v>1.8019641409135957E-4</v>
      </c>
    </row>
    <row r="12" spans="1:41" x14ac:dyDescent="0.2">
      <c r="A12" s="502">
        <v>105</v>
      </c>
      <c r="B12" s="503">
        <v>0.375</v>
      </c>
      <c r="C12" s="504">
        <v>2013</v>
      </c>
      <c r="D12" s="504">
        <v>3</v>
      </c>
      <c r="E12" s="504">
        <v>10</v>
      </c>
      <c r="F12" s="505">
        <v>531150</v>
      </c>
      <c r="G12" s="504">
        <v>0</v>
      </c>
      <c r="H12" s="505">
        <v>686226</v>
      </c>
      <c r="I12" s="504">
        <v>0</v>
      </c>
      <c r="J12" s="504">
        <v>0</v>
      </c>
      <c r="K12" s="504">
        <v>0</v>
      </c>
      <c r="L12" s="506">
        <v>326.4126</v>
      </c>
      <c r="M12" s="505">
        <v>21.6</v>
      </c>
      <c r="N12" s="507">
        <v>0</v>
      </c>
      <c r="O12" s="508">
        <v>11272</v>
      </c>
      <c r="P12" s="493">
        <f t="shared" si="0"/>
        <v>11272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11272</v>
      </c>
      <c r="W12" s="515">
        <f t="shared" si="10"/>
        <v>398066.96023999999</v>
      </c>
      <c r="Y12" s="513">
        <f t="shared" si="11"/>
        <v>98.053940361641352</v>
      </c>
      <c r="Z12" s="510">
        <f t="shared" si="12"/>
        <v>410.53223750612</v>
      </c>
      <c r="AA12" s="511">
        <f t="shared" si="13"/>
        <v>389.10837990200332</v>
      </c>
      <c r="AE12" s="598" t="str">
        <f t="shared" si="3"/>
        <v>531150</v>
      </c>
      <c r="AF12" s="502">
        <v>105</v>
      </c>
      <c r="AG12" s="606">
        <v>10</v>
      </c>
      <c r="AH12" s="607">
        <v>531149</v>
      </c>
      <c r="AI12" s="608">
        <f t="shared" si="4"/>
        <v>531150</v>
      </c>
      <c r="AJ12" s="609">
        <f t="shared" si="5"/>
        <v>1</v>
      </c>
      <c r="AL12" s="602">
        <f t="shared" si="6"/>
        <v>11273</v>
      </c>
      <c r="AM12" s="610">
        <f t="shared" si="6"/>
        <v>11272</v>
      </c>
      <c r="AN12" s="611">
        <f t="shared" si="7"/>
        <v>-1</v>
      </c>
      <c r="AO12" s="612">
        <f t="shared" si="8"/>
        <v>-8.8715400993612495E-5</v>
      </c>
    </row>
    <row r="13" spans="1:41" x14ac:dyDescent="0.2">
      <c r="A13" s="502">
        <v>105</v>
      </c>
      <c r="B13" s="503">
        <v>0.375</v>
      </c>
      <c r="C13" s="504">
        <v>2013</v>
      </c>
      <c r="D13" s="504">
        <v>3</v>
      </c>
      <c r="E13" s="504">
        <v>11</v>
      </c>
      <c r="F13" s="505">
        <v>542422</v>
      </c>
      <c r="G13" s="504">
        <v>0</v>
      </c>
      <c r="H13" s="505">
        <v>686701</v>
      </c>
      <c r="I13" s="504">
        <v>0</v>
      </c>
      <c r="J13" s="504">
        <v>0</v>
      </c>
      <c r="K13" s="504">
        <v>0</v>
      </c>
      <c r="L13" s="506">
        <v>325.50740000000002</v>
      </c>
      <c r="M13" s="505">
        <v>21.6</v>
      </c>
      <c r="N13" s="507">
        <v>0</v>
      </c>
      <c r="O13" s="508">
        <v>9583</v>
      </c>
      <c r="P13" s="493">
        <f t="shared" si="0"/>
        <v>9583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9583</v>
      </c>
      <c r="W13" s="515">
        <f t="shared" si="10"/>
        <v>338420.48261000001</v>
      </c>
      <c r="Y13" s="513">
        <f t="shared" si="11"/>
        <v>83.217137176785826</v>
      </c>
      <c r="Z13" s="510">
        <f t="shared" si="12"/>
        <v>348.4135099317669</v>
      </c>
      <c r="AA13" s="511">
        <f t="shared" si="13"/>
        <v>330.2313533501723</v>
      </c>
      <c r="AE13" s="598" t="str">
        <f t="shared" si="3"/>
        <v>542422</v>
      </c>
      <c r="AF13" s="502">
        <v>105</v>
      </c>
      <c r="AG13" s="606">
        <v>11</v>
      </c>
      <c r="AH13" s="607">
        <v>542422</v>
      </c>
      <c r="AI13" s="608">
        <f t="shared" si="4"/>
        <v>542422</v>
      </c>
      <c r="AJ13" s="609">
        <f t="shared" si="5"/>
        <v>0</v>
      </c>
      <c r="AL13" s="602">
        <f t="shared" si="6"/>
        <v>9585</v>
      </c>
      <c r="AM13" s="610">
        <f t="shared" si="6"/>
        <v>9583</v>
      </c>
      <c r="AN13" s="611">
        <f t="shared" si="7"/>
        <v>-2</v>
      </c>
      <c r="AO13" s="612">
        <f t="shared" si="8"/>
        <v>-2.087029114056141E-4</v>
      </c>
    </row>
    <row r="14" spans="1:41" x14ac:dyDescent="0.2">
      <c r="A14" s="502">
        <v>105</v>
      </c>
      <c r="B14" s="503">
        <v>0.375</v>
      </c>
      <c r="C14" s="504">
        <v>2013</v>
      </c>
      <c r="D14" s="504">
        <v>3</v>
      </c>
      <c r="E14" s="504">
        <v>12</v>
      </c>
      <c r="F14" s="505">
        <v>552005</v>
      </c>
      <c r="G14" s="504">
        <v>0</v>
      </c>
      <c r="H14" s="505">
        <v>687112</v>
      </c>
      <c r="I14" s="504">
        <v>0</v>
      </c>
      <c r="J14" s="504">
        <v>0</v>
      </c>
      <c r="K14" s="504">
        <v>0</v>
      </c>
      <c r="L14" s="506">
        <v>320.03890000000001</v>
      </c>
      <c r="M14" s="505">
        <v>21.7</v>
      </c>
      <c r="N14" s="507">
        <v>0</v>
      </c>
      <c r="O14" s="508">
        <v>10922</v>
      </c>
      <c r="P14" s="493">
        <f t="shared" si="0"/>
        <v>10922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10922</v>
      </c>
      <c r="W14" s="515">
        <f t="shared" si="10"/>
        <v>385706.82574</v>
      </c>
      <c r="Y14" s="513">
        <f t="shared" si="11"/>
        <v>94.885550601970095</v>
      </c>
      <c r="Z14" s="510">
        <f t="shared" si="12"/>
        <v>397.26682326032835</v>
      </c>
      <c r="AA14" s="511">
        <f t="shared" si="13"/>
        <v>376.53522882070251</v>
      </c>
      <c r="AE14" s="598" t="str">
        <f t="shared" si="3"/>
        <v>552005</v>
      </c>
      <c r="AF14" s="502">
        <v>105</v>
      </c>
      <c r="AG14" s="606">
        <v>12</v>
      </c>
      <c r="AH14" s="607">
        <v>552007</v>
      </c>
      <c r="AI14" s="608">
        <f t="shared" si="4"/>
        <v>552005</v>
      </c>
      <c r="AJ14" s="609">
        <f t="shared" si="5"/>
        <v>-2</v>
      </c>
      <c r="AL14" s="602">
        <f t="shared" si="6"/>
        <v>10922</v>
      </c>
      <c r="AM14" s="610">
        <f t="shared" si="6"/>
        <v>10922</v>
      </c>
      <c r="AN14" s="611">
        <f t="shared" si="7"/>
        <v>0</v>
      </c>
      <c r="AO14" s="612">
        <f t="shared" si="8"/>
        <v>0</v>
      </c>
    </row>
    <row r="15" spans="1:41" x14ac:dyDescent="0.2">
      <c r="A15" s="502">
        <v>105</v>
      </c>
      <c r="B15" s="503">
        <v>0.375</v>
      </c>
      <c r="C15" s="504">
        <v>2013</v>
      </c>
      <c r="D15" s="504">
        <v>3</v>
      </c>
      <c r="E15" s="504">
        <v>13</v>
      </c>
      <c r="F15" s="505">
        <v>562927</v>
      </c>
      <c r="G15" s="504">
        <v>0</v>
      </c>
      <c r="H15" s="505">
        <v>687584</v>
      </c>
      <c r="I15" s="504">
        <v>0</v>
      </c>
      <c r="J15" s="504">
        <v>0</v>
      </c>
      <c r="K15" s="504">
        <v>0</v>
      </c>
      <c r="L15" s="506">
        <v>317.47550000000001</v>
      </c>
      <c r="M15" s="505">
        <v>21.8</v>
      </c>
      <c r="N15" s="507">
        <v>0</v>
      </c>
      <c r="O15" s="508">
        <v>11396</v>
      </c>
      <c r="P15" s="493">
        <f t="shared" si="0"/>
        <v>11396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11396</v>
      </c>
      <c r="W15" s="515">
        <f t="shared" si="10"/>
        <v>402445.97931999998</v>
      </c>
      <c r="Y15" s="513">
        <f t="shared" si="11"/>
        <v>98.768424088139668</v>
      </c>
      <c r="Z15" s="510">
        <f t="shared" si="12"/>
        <v>413.52363797222318</v>
      </c>
      <c r="AA15" s="511">
        <f t="shared" si="13"/>
        <v>391.94367243852696</v>
      </c>
      <c r="AE15" s="598" t="str">
        <f t="shared" si="3"/>
        <v>562927</v>
      </c>
      <c r="AF15" s="502">
        <v>105</v>
      </c>
      <c r="AG15" s="606">
        <v>13</v>
      </c>
      <c r="AH15" s="607">
        <v>562929</v>
      </c>
      <c r="AI15" s="608">
        <f t="shared" si="4"/>
        <v>562927</v>
      </c>
      <c r="AJ15" s="609">
        <f t="shared" si="5"/>
        <v>-2</v>
      </c>
      <c r="AL15" s="602">
        <f t="shared" si="6"/>
        <v>11394</v>
      </c>
      <c r="AM15" s="610">
        <f t="shared" si="6"/>
        <v>11396</v>
      </c>
      <c r="AN15" s="611">
        <f t="shared" si="7"/>
        <v>2</v>
      </c>
      <c r="AO15" s="612">
        <f t="shared" si="8"/>
        <v>1.7550017550017549E-4</v>
      </c>
    </row>
    <row r="16" spans="1:41" x14ac:dyDescent="0.2">
      <c r="A16" s="502">
        <v>105</v>
      </c>
      <c r="B16" s="503">
        <v>0.375</v>
      </c>
      <c r="C16" s="504">
        <v>2013</v>
      </c>
      <c r="D16" s="504">
        <v>3</v>
      </c>
      <c r="E16" s="504">
        <v>14</v>
      </c>
      <c r="F16" s="505">
        <v>574323</v>
      </c>
      <c r="G16" s="504">
        <v>0</v>
      </c>
      <c r="H16" s="505">
        <v>688078</v>
      </c>
      <c r="I16" s="504">
        <v>0</v>
      </c>
      <c r="J16" s="504">
        <v>0</v>
      </c>
      <c r="K16" s="504">
        <v>0</v>
      </c>
      <c r="L16" s="506">
        <v>316.24009999999998</v>
      </c>
      <c r="M16" s="505">
        <v>21.2</v>
      </c>
      <c r="N16" s="507">
        <v>0</v>
      </c>
      <c r="O16" s="508">
        <v>11446</v>
      </c>
      <c r="P16" s="493">
        <f t="shared" si="0"/>
        <v>11446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11446</v>
      </c>
      <c r="W16" s="515">
        <f t="shared" si="10"/>
        <v>404211.71282000002</v>
      </c>
      <c r="Y16" s="513">
        <f t="shared" si="11"/>
        <v>98.944886620621944</v>
      </c>
      <c r="Z16" s="510">
        <f t="shared" si="12"/>
        <v>414.26245130321996</v>
      </c>
      <c r="AA16" s="511">
        <f t="shared" si="13"/>
        <v>392.6439303769061</v>
      </c>
      <c r="AE16" s="598" t="str">
        <f t="shared" si="3"/>
        <v>574323</v>
      </c>
      <c r="AF16" s="502">
        <v>105</v>
      </c>
      <c r="AG16" s="606">
        <v>14</v>
      </c>
      <c r="AH16" s="607">
        <v>574323</v>
      </c>
      <c r="AI16" s="608">
        <f t="shared" si="4"/>
        <v>574323</v>
      </c>
      <c r="AJ16" s="609">
        <f t="shared" si="5"/>
        <v>0</v>
      </c>
      <c r="AL16" s="602">
        <f t="shared" si="6"/>
        <v>11448</v>
      </c>
      <c r="AM16" s="610">
        <f t="shared" si="6"/>
        <v>11446</v>
      </c>
      <c r="AN16" s="611">
        <f t="shared" si="7"/>
        <v>-2</v>
      </c>
      <c r="AO16" s="612">
        <f t="shared" si="8"/>
        <v>-1.7473353136466887E-4</v>
      </c>
    </row>
    <row r="17" spans="1:41" x14ac:dyDescent="0.2">
      <c r="A17" s="502">
        <v>105</v>
      </c>
      <c r="B17" s="503">
        <v>0.375</v>
      </c>
      <c r="C17" s="504">
        <v>2013</v>
      </c>
      <c r="D17" s="504">
        <v>3</v>
      </c>
      <c r="E17" s="504">
        <v>15</v>
      </c>
      <c r="F17" s="505">
        <v>585769</v>
      </c>
      <c r="G17" s="504">
        <v>0</v>
      </c>
      <c r="H17" s="505">
        <v>688571</v>
      </c>
      <c r="I17" s="504">
        <v>0</v>
      </c>
      <c r="J17" s="504">
        <v>0</v>
      </c>
      <c r="K17" s="504">
        <v>0</v>
      </c>
      <c r="L17" s="506">
        <v>317.36110000000002</v>
      </c>
      <c r="M17" s="505">
        <v>21</v>
      </c>
      <c r="N17" s="507">
        <v>0</v>
      </c>
      <c r="O17" s="508">
        <v>11947</v>
      </c>
      <c r="P17" s="493">
        <f t="shared" si="0"/>
        <v>11947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11947</v>
      </c>
      <c r="W17" s="515">
        <f t="shared" si="10"/>
        <v>421904.36248999997</v>
      </c>
      <c r="Y17" s="513">
        <f t="shared" si="11"/>
        <v>104.57069807489177</v>
      </c>
      <c r="Z17" s="510">
        <f t="shared" si="12"/>
        <v>437.81659869995678</v>
      </c>
      <c r="AA17" s="511">
        <f t="shared" si="13"/>
        <v>414.96889123550523</v>
      </c>
      <c r="AE17" s="598" t="str">
        <f t="shared" si="3"/>
        <v>585769</v>
      </c>
      <c r="AF17" s="502">
        <v>105</v>
      </c>
      <c r="AG17" s="606">
        <v>15</v>
      </c>
      <c r="AH17" s="607">
        <v>585771</v>
      </c>
      <c r="AI17" s="608">
        <f t="shared" si="4"/>
        <v>585769</v>
      </c>
      <c r="AJ17" s="609">
        <f t="shared" si="5"/>
        <v>-2</v>
      </c>
      <c r="AL17" s="602">
        <f t="shared" si="6"/>
        <v>11945</v>
      </c>
      <c r="AM17" s="610">
        <f t="shared" si="6"/>
        <v>11947</v>
      </c>
      <c r="AN17" s="611">
        <f t="shared" si="7"/>
        <v>2</v>
      </c>
      <c r="AO17" s="612">
        <f t="shared" si="8"/>
        <v>1.6740604335816522E-4</v>
      </c>
    </row>
    <row r="18" spans="1:41" x14ac:dyDescent="0.2">
      <c r="A18" s="502">
        <v>105</v>
      </c>
      <c r="B18" s="503">
        <v>0.375</v>
      </c>
      <c r="C18" s="504">
        <v>2013</v>
      </c>
      <c r="D18" s="504">
        <v>3</v>
      </c>
      <c r="E18" s="504">
        <v>16</v>
      </c>
      <c r="F18" s="505">
        <v>597716</v>
      </c>
      <c r="G18" s="504">
        <v>0</v>
      </c>
      <c r="H18" s="505">
        <v>689087</v>
      </c>
      <c r="I18" s="504">
        <v>0</v>
      </c>
      <c r="J18" s="504">
        <v>0</v>
      </c>
      <c r="K18" s="504">
        <v>0</v>
      </c>
      <c r="L18" s="506">
        <v>316.70359999999999</v>
      </c>
      <c r="M18" s="505">
        <v>20.9</v>
      </c>
      <c r="N18" s="507">
        <v>0</v>
      </c>
      <c r="O18" s="508">
        <v>7625</v>
      </c>
      <c r="P18" s="493">
        <f t="shared" si="0"/>
        <v>7625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7625</v>
      </c>
      <c r="W18" s="515">
        <f t="shared" si="10"/>
        <v>269274.35875000001</v>
      </c>
      <c r="Y18" s="513">
        <f t="shared" si="11"/>
        <v>66.740735985690932</v>
      </c>
      <c r="Z18" s="510">
        <f t="shared" si="12"/>
        <v>279.43011342489081</v>
      </c>
      <c r="AA18" s="511">
        <f t="shared" si="13"/>
        <v>264.84789450663158</v>
      </c>
      <c r="AE18" s="598" t="str">
        <f t="shared" si="3"/>
        <v>597716</v>
      </c>
      <c r="AF18" s="502">
        <v>105</v>
      </c>
      <c r="AG18" s="606">
        <v>16</v>
      </c>
      <c r="AH18" s="607">
        <v>597716</v>
      </c>
      <c r="AI18" s="608">
        <f t="shared" si="4"/>
        <v>597716</v>
      </c>
      <c r="AJ18" s="609">
        <f t="shared" si="5"/>
        <v>0</v>
      </c>
      <c r="AL18" s="602">
        <f t="shared" si="6"/>
        <v>7627</v>
      </c>
      <c r="AM18" s="610">
        <f t="shared" si="6"/>
        <v>7625</v>
      </c>
      <c r="AN18" s="611">
        <f t="shared" si="7"/>
        <v>-2</v>
      </c>
      <c r="AO18" s="612">
        <f t="shared" si="8"/>
        <v>-2.6229508196721314E-4</v>
      </c>
    </row>
    <row r="19" spans="1:41" x14ac:dyDescent="0.2">
      <c r="A19" s="502">
        <v>105</v>
      </c>
      <c r="B19" s="503">
        <v>0.375</v>
      </c>
      <c r="C19" s="504">
        <v>2013</v>
      </c>
      <c r="D19" s="504">
        <v>3</v>
      </c>
      <c r="E19" s="504">
        <v>17</v>
      </c>
      <c r="F19" s="505">
        <v>605341</v>
      </c>
      <c r="G19" s="504">
        <v>0</v>
      </c>
      <c r="H19" s="505">
        <v>689406</v>
      </c>
      <c r="I19" s="504">
        <v>0</v>
      </c>
      <c r="J19" s="504">
        <v>0</v>
      </c>
      <c r="K19" s="504">
        <v>0</v>
      </c>
      <c r="L19" s="506">
        <v>326.17129999999997</v>
      </c>
      <c r="M19" s="505">
        <v>20</v>
      </c>
      <c r="N19" s="507">
        <v>0</v>
      </c>
      <c r="O19" s="508">
        <v>7459</v>
      </c>
      <c r="P19" s="493">
        <f t="shared" si="0"/>
        <v>7459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7459</v>
      </c>
      <c r="W19" s="515">
        <f t="shared" si="10"/>
        <v>263412.12352999998</v>
      </c>
      <c r="Y19" s="513">
        <f t="shared" si="11"/>
        <v>65.287757339969659</v>
      </c>
      <c r="Z19" s="510">
        <f t="shared" si="12"/>
        <v>273.346782430985</v>
      </c>
      <c r="AA19" s="511">
        <f t="shared" si="13"/>
        <v>259.08202559015928</v>
      </c>
      <c r="AE19" s="598" t="str">
        <f t="shared" si="3"/>
        <v>605341</v>
      </c>
      <c r="AF19" s="502">
        <v>105</v>
      </c>
      <c r="AG19" s="606">
        <v>17</v>
      </c>
      <c r="AH19" s="607">
        <v>605343</v>
      </c>
      <c r="AI19" s="608">
        <f t="shared" si="4"/>
        <v>605341</v>
      </c>
      <c r="AJ19" s="609">
        <f t="shared" si="5"/>
        <v>-2</v>
      </c>
      <c r="AL19" s="602">
        <f t="shared" si="6"/>
        <v>7459</v>
      </c>
      <c r="AM19" s="610">
        <f t="shared" si="6"/>
        <v>7459</v>
      </c>
      <c r="AN19" s="611">
        <f t="shared" si="7"/>
        <v>0</v>
      </c>
      <c r="AO19" s="612">
        <f t="shared" si="8"/>
        <v>0</v>
      </c>
    </row>
    <row r="20" spans="1:41" x14ac:dyDescent="0.2">
      <c r="A20" s="502">
        <v>105</v>
      </c>
      <c r="B20" s="503">
        <v>0.375</v>
      </c>
      <c r="C20" s="504">
        <v>2013</v>
      </c>
      <c r="D20" s="504">
        <v>3</v>
      </c>
      <c r="E20" s="504">
        <v>18</v>
      </c>
      <c r="F20" s="505">
        <v>612800</v>
      </c>
      <c r="G20" s="504">
        <v>0</v>
      </c>
      <c r="H20" s="505">
        <v>689717</v>
      </c>
      <c r="I20" s="504">
        <v>0</v>
      </c>
      <c r="J20" s="504">
        <v>0</v>
      </c>
      <c r="K20" s="504">
        <v>0</v>
      </c>
      <c r="L20" s="506">
        <v>327.31760000000003</v>
      </c>
      <c r="M20" s="505">
        <v>20.8</v>
      </c>
      <c r="N20" s="507">
        <v>0</v>
      </c>
      <c r="O20" s="508">
        <v>7394</v>
      </c>
      <c r="P20" s="493">
        <f t="shared" si="0"/>
        <v>7394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7394</v>
      </c>
      <c r="W20" s="515">
        <f t="shared" si="10"/>
        <v>261116.66998000001</v>
      </c>
      <c r="Y20" s="513">
        <f t="shared" si="11"/>
        <v>64.718819918452297</v>
      </c>
      <c r="Z20" s="510">
        <f t="shared" si="12"/>
        <v>270.9647552345761</v>
      </c>
      <c r="AA20" s="511">
        <f t="shared" si="13"/>
        <v>256.82430583370933</v>
      </c>
      <c r="AE20" s="598" t="str">
        <f t="shared" si="3"/>
        <v>612800</v>
      </c>
      <c r="AF20" s="502">
        <v>105</v>
      </c>
      <c r="AG20" s="606">
        <v>18</v>
      </c>
      <c r="AH20" s="607">
        <v>612802</v>
      </c>
      <c r="AI20" s="608">
        <f t="shared" si="4"/>
        <v>612800</v>
      </c>
      <c r="AJ20" s="609">
        <f t="shared" si="5"/>
        <v>-2</v>
      </c>
      <c r="AL20" s="602">
        <f t="shared" si="6"/>
        <v>7394</v>
      </c>
      <c r="AM20" s="610">
        <f t="shared" si="6"/>
        <v>7394</v>
      </c>
      <c r="AN20" s="611">
        <f t="shared" si="7"/>
        <v>0</v>
      </c>
      <c r="AO20" s="612">
        <f t="shared" si="8"/>
        <v>0</v>
      </c>
    </row>
    <row r="21" spans="1:41" x14ac:dyDescent="0.2">
      <c r="A21" s="502">
        <v>105</v>
      </c>
      <c r="B21" s="503">
        <v>0.375</v>
      </c>
      <c r="C21" s="504">
        <v>2013</v>
      </c>
      <c r="D21" s="504">
        <v>3</v>
      </c>
      <c r="E21" s="504">
        <v>19</v>
      </c>
      <c r="F21" s="505">
        <v>620194</v>
      </c>
      <c r="G21" s="504">
        <v>0</v>
      </c>
      <c r="H21" s="505">
        <v>690026</v>
      </c>
      <c r="I21" s="504">
        <v>0</v>
      </c>
      <c r="J21" s="504">
        <v>0</v>
      </c>
      <c r="K21" s="504">
        <v>0</v>
      </c>
      <c r="L21" s="506">
        <v>326.09370000000001</v>
      </c>
      <c r="M21" s="505">
        <v>20.8</v>
      </c>
      <c r="N21" s="507">
        <v>0</v>
      </c>
      <c r="O21" s="508">
        <v>7249</v>
      </c>
      <c r="P21" s="493">
        <f t="shared" si="0"/>
        <v>7249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7249</v>
      </c>
      <c r="W21" s="515">
        <f t="shared" si="10"/>
        <v>255996.04282999999</v>
      </c>
      <c r="Y21" s="513">
        <f t="shared" si="11"/>
        <v>63.449651824298179</v>
      </c>
      <c r="Z21" s="510">
        <f t="shared" si="12"/>
        <v>265.65100225797164</v>
      </c>
      <c r="AA21" s="511">
        <f t="shared" si="13"/>
        <v>251.78785406932096</v>
      </c>
      <c r="AE21" s="598" t="str">
        <f t="shared" si="3"/>
        <v>620194</v>
      </c>
      <c r="AF21" s="502">
        <v>105</v>
      </c>
      <c r="AG21" s="606">
        <v>19</v>
      </c>
      <c r="AH21" s="607">
        <v>620196</v>
      </c>
      <c r="AI21" s="608">
        <f t="shared" si="4"/>
        <v>620194</v>
      </c>
      <c r="AJ21" s="609">
        <f t="shared" si="5"/>
        <v>-2</v>
      </c>
      <c r="AL21" s="602">
        <f t="shared" si="6"/>
        <v>7249</v>
      </c>
      <c r="AM21" s="610">
        <f t="shared" si="6"/>
        <v>7249</v>
      </c>
      <c r="AN21" s="611">
        <f t="shared" si="7"/>
        <v>0</v>
      </c>
      <c r="AO21" s="612">
        <f t="shared" si="8"/>
        <v>0</v>
      </c>
    </row>
    <row r="22" spans="1:41" x14ac:dyDescent="0.2">
      <c r="A22" s="502">
        <v>105</v>
      </c>
      <c r="B22" s="503">
        <v>0.375</v>
      </c>
      <c r="C22" s="504">
        <v>2013</v>
      </c>
      <c r="D22" s="504">
        <v>3</v>
      </c>
      <c r="E22" s="504">
        <v>20</v>
      </c>
      <c r="F22" s="505">
        <v>627443</v>
      </c>
      <c r="G22" s="504">
        <v>0</v>
      </c>
      <c r="H22" s="505">
        <v>690338</v>
      </c>
      <c r="I22" s="504">
        <v>0</v>
      </c>
      <c r="J22" s="504">
        <v>0</v>
      </c>
      <c r="K22" s="504">
        <v>0</v>
      </c>
      <c r="L22" s="506">
        <v>318.86430000000001</v>
      </c>
      <c r="M22" s="505">
        <v>21.6</v>
      </c>
      <c r="N22" s="507">
        <v>0</v>
      </c>
      <c r="O22" s="508">
        <v>7686</v>
      </c>
      <c r="P22" s="493">
        <f t="shared" si="0"/>
        <v>7686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7686</v>
      </c>
      <c r="W22" s="515">
        <f t="shared" si="10"/>
        <v>271428.55362000002</v>
      </c>
      <c r="Y22" s="513">
        <f t="shared" si="11"/>
        <v>67.274661873576463</v>
      </c>
      <c r="Z22" s="510">
        <f t="shared" si="12"/>
        <v>281.66555433228996</v>
      </c>
      <c r="AA22" s="511">
        <f t="shared" si="13"/>
        <v>266.96667766268467</v>
      </c>
      <c r="AE22" s="598" t="str">
        <f t="shared" si="3"/>
        <v>627443</v>
      </c>
      <c r="AF22" s="502">
        <v>105</v>
      </c>
      <c r="AG22" s="606">
        <v>20</v>
      </c>
      <c r="AH22" s="607">
        <v>627445</v>
      </c>
      <c r="AI22" s="608">
        <f t="shared" si="4"/>
        <v>627443</v>
      </c>
      <c r="AJ22" s="609">
        <f t="shared" si="5"/>
        <v>-2</v>
      </c>
      <c r="AL22" s="602">
        <f t="shared" si="6"/>
        <v>7686</v>
      </c>
      <c r="AM22" s="610">
        <f t="shared" si="6"/>
        <v>7686</v>
      </c>
      <c r="AN22" s="611">
        <f t="shared" si="7"/>
        <v>0</v>
      </c>
      <c r="AO22" s="612">
        <f t="shared" si="8"/>
        <v>0</v>
      </c>
    </row>
    <row r="23" spans="1:41" x14ac:dyDescent="0.2">
      <c r="A23" s="502">
        <v>105</v>
      </c>
      <c r="B23" s="503">
        <v>0.375</v>
      </c>
      <c r="C23" s="504">
        <v>2013</v>
      </c>
      <c r="D23" s="504">
        <v>3</v>
      </c>
      <c r="E23" s="504">
        <v>21</v>
      </c>
      <c r="F23" s="505">
        <v>635129</v>
      </c>
      <c r="G23" s="504">
        <v>0</v>
      </c>
      <c r="H23" s="505">
        <v>690669</v>
      </c>
      <c r="I23" s="504">
        <v>0</v>
      </c>
      <c r="J23" s="504">
        <v>0</v>
      </c>
      <c r="K23" s="504">
        <v>0</v>
      </c>
      <c r="L23" s="506">
        <v>318.09890000000001</v>
      </c>
      <c r="M23" s="505">
        <v>21.5</v>
      </c>
      <c r="N23" s="507">
        <v>0</v>
      </c>
      <c r="O23" s="508">
        <v>7434</v>
      </c>
      <c r="P23" s="493">
        <f t="shared" si="0"/>
        <v>7434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7434</v>
      </c>
      <c r="W23" s="515">
        <f t="shared" si="10"/>
        <v>262529.25678</v>
      </c>
      <c r="Y23" s="513">
        <f t="shared" si="11"/>
        <v>65.068935254770679</v>
      </c>
      <c r="Z23" s="510">
        <f t="shared" si="12"/>
        <v>272.43061812467391</v>
      </c>
      <c r="AA23" s="511">
        <f t="shared" si="13"/>
        <v>258.21367183767853</v>
      </c>
      <c r="AE23" s="598" t="str">
        <f t="shared" si="3"/>
        <v>635129</v>
      </c>
      <c r="AF23" s="502">
        <v>105</v>
      </c>
      <c r="AG23" s="606">
        <v>21</v>
      </c>
      <c r="AH23" s="607">
        <v>635131</v>
      </c>
      <c r="AI23" s="608">
        <f t="shared" si="4"/>
        <v>635129</v>
      </c>
      <c r="AJ23" s="609">
        <f t="shared" si="5"/>
        <v>-2</v>
      </c>
      <c r="AL23" s="602">
        <f t="shared" si="6"/>
        <v>7433</v>
      </c>
      <c r="AM23" s="610">
        <f t="shared" si="6"/>
        <v>7434</v>
      </c>
      <c r="AN23" s="611">
        <f t="shared" si="7"/>
        <v>1</v>
      </c>
      <c r="AO23" s="612">
        <f t="shared" si="8"/>
        <v>1.3451708366962604E-4</v>
      </c>
    </row>
    <row r="24" spans="1:41" x14ac:dyDescent="0.2">
      <c r="A24" s="502">
        <v>105</v>
      </c>
      <c r="B24" s="503">
        <v>0.375</v>
      </c>
      <c r="C24" s="504">
        <v>2013</v>
      </c>
      <c r="D24" s="504">
        <v>3</v>
      </c>
      <c r="E24" s="504">
        <v>22</v>
      </c>
      <c r="F24" s="505">
        <v>642563</v>
      </c>
      <c r="G24" s="504">
        <v>0</v>
      </c>
      <c r="H24" s="505">
        <v>690991</v>
      </c>
      <c r="I24" s="504">
        <v>0</v>
      </c>
      <c r="J24" s="504">
        <v>0</v>
      </c>
      <c r="K24" s="504">
        <v>0</v>
      </c>
      <c r="L24" s="506">
        <v>317.14499999999998</v>
      </c>
      <c r="M24" s="505">
        <v>22.1</v>
      </c>
      <c r="N24" s="507">
        <v>0</v>
      </c>
      <c r="O24" s="508">
        <v>7769</v>
      </c>
      <c r="P24" s="493">
        <f t="shared" si="0"/>
        <v>7769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7769</v>
      </c>
      <c r="W24" s="515">
        <f t="shared" si="10"/>
        <v>274359.67122999998</v>
      </c>
      <c r="Y24" s="513">
        <f t="shared" si="11"/>
        <v>68.001151196437107</v>
      </c>
      <c r="Z24" s="510">
        <f t="shared" si="12"/>
        <v>284.70721982924283</v>
      </c>
      <c r="AA24" s="511">
        <f t="shared" si="13"/>
        <v>269.84961212092071</v>
      </c>
      <c r="AE24" s="598" t="str">
        <f t="shared" si="3"/>
        <v>642563</v>
      </c>
      <c r="AF24" s="502">
        <v>105</v>
      </c>
      <c r="AG24" s="606">
        <v>22</v>
      </c>
      <c r="AH24" s="607">
        <v>642564</v>
      </c>
      <c r="AI24" s="608">
        <f t="shared" si="4"/>
        <v>642563</v>
      </c>
      <c r="AJ24" s="609">
        <f t="shared" si="5"/>
        <v>-1</v>
      </c>
      <c r="AL24" s="602">
        <f t="shared" si="6"/>
        <v>7770</v>
      </c>
      <c r="AM24" s="610">
        <f t="shared" si="6"/>
        <v>7769</v>
      </c>
      <c r="AN24" s="611">
        <f t="shared" si="7"/>
        <v>-1</v>
      </c>
      <c r="AO24" s="612">
        <f t="shared" si="8"/>
        <v>-1.2871669455528383E-4</v>
      </c>
    </row>
    <row r="25" spans="1:41" x14ac:dyDescent="0.2">
      <c r="A25" s="502">
        <v>105</v>
      </c>
      <c r="B25" s="503">
        <v>0.375</v>
      </c>
      <c r="C25" s="504">
        <v>2013</v>
      </c>
      <c r="D25" s="504">
        <v>3</v>
      </c>
      <c r="E25" s="504">
        <v>23</v>
      </c>
      <c r="F25" s="505">
        <v>650332</v>
      </c>
      <c r="G25" s="504">
        <v>0</v>
      </c>
      <c r="H25" s="505">
        <v>691327</v>
      </c>
      <c r="I25" s="504">
        <v>0</v>
      </c>
      <c r="J25" s="504">
        <v>0</v>
      </c>
      <c r="K25" s="504">
        <v>0</v>
      </c>
      <c r="L25" s="506">
        <v>318.12150000000003</v>
      </c>
      <c r="M25" s="505">
        <v>21.8</v>
      </c>
      <c r="N25" s="507">
        <v>0</v>
      </c>
      <c r="O25" s="508">
        <v>7658</v>
      </c>
      <c r="P25" s="493">
        <f t="shared" si="0"/>
        <v>7658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7658</v>
      </c>
      <c r="W25" s="515">
        <f t="shared" si="10"/>
        <v>270439.74286</v>
      </c>
      <c r="Y25" s="513">
        <f t="shared" si="11"/>
        <v>67.029581138153603</v>
      </c>
      <c r="Z25" s="510">
        <f t="shared" si="12"/>
        <v>280.6394503092215</v>
      </c>
      <c r="AA25" s="511">
        <f t="shared" si="13"/>
        <v>265.99412145990618</v>
      </c>
      <c r="AE25" s="598" t="str">
        <f t="shared" si="3"/>
        <v>650332</v>
      </c>
      <c r="AF25" s="502">
        <v>105</v>
      </c>
      <c r="AG25" s="606">
        <v>23</v>
      </c>
      <c r="AH25" s="607">
        <v>650334</v>
      </c>
      <c r="AI25" s="608">
        <f t="shared" si="4"/>
        <v>650332</v>
      </c>
      <c r="AJ25" s="609">
        <f t="shared" si="5"/>
        <v>-2</v>
      </c>
      <c r="AL25" s="602">
        <f t="shared" si="6"/>
        <v>7658</v>
      </c>
      <c r="AM25" s="610">
        <f t="shared" si="6"/>
        <v>7658</v>
      </c>
      <c r="AN25" s="611">
        <f t="shared" si="7"/>
        <v>0</v>
      </c>
      <c r="AO25" s="612">
        <f t="shared" si="8"/>
        <v>0</v>
      </c>
    </row>
    <row r="26" spans="1:41" x14ac:dyDescent="0.2">
      <c r="A26" s="502">
        <v>105</v>
      </c>
      <c r="B26" s="503">
        <v>0.375</v>
      </c>
      <c r="C26" s="504">
        <v>2013</v>
      </c>
      <c r="D26" s="504">
        <v>3</v>
      </c>
      <c r="E26" s="504">
        <v>24</v>
      </c>
      <c r="F26" s="505">
        <v>657990</v>
      </c>
      <c r="G26" s="504">
        <v>0</v>
      </c>
      <c r="H26" s="505">
        <v>691651</v>
      </c>
      <c r="I26" s="504">
        <v>0</v>
      </c>
      <c r="J26" s="504">
        <v>0</v>
      </c>
      <c r="K26" s="504">
        <v>0</v>
      </c>
      <c r="L26" s="506">
        <v>323.14530000000002</v>
      </c>
      <c r="M26" s="505">
        <v>21.8</v>
      </c>
      <c r="N26" s="507">
        <v>0</v>
      </c>
      <c r="O26" s="508">
        <v>7916</v>
      </c>
      <c r="P26" s="493">
        <f t="shared" si="0"/>
        <v>7916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7916</v>
      </c>
      <c r="W26" s="515">
        <f t="shared" si="10"/>
        <v>279550.92771999998</v>
      </c>
      <c r="Y26" s="513">
        <f t="shared" si="11"/>
        <v>69.287825057407147</v>
      </c>
      <c r="Z26" s="510">
        <f t="shared" si="12"/>
        <v>290.09426595035222</v>
      </c>
      <c r="AA26" s="511">
        <f t="shared" si="13"/>
        <v>274.95553218550759</v>
      </c>
      <c r="AE26" s="598" t="str">
        <f t="shared" si="3"/>
        <v>657990</v>
      </c>
      <c r="AF26" s="502">
        <v>105</v>
      </c>
      <c r="AG26" s="606">
        <v>24</v>
      </c>
      <c r="AH26" s="607">
        <v>657992</v>
      </c>
      <c r="AI26" s="608">
        <f t="shared" si="4"/>
        <v>657990</v>
      </c>
      <c r="AJ26" s="609">
        <f t="shared" si="5"/>
        <v>-2</v>
      </c>
      <c r="AL26" s="602">
        <f t="shared" si="6"/>
        <v>7916</v>
      </c>
      <c r="AM26" s="610">
        <f t="shared" si="6"/>
        <v>7916</v>
      </c>
      <c r="AN26" s="611">
        <f t="shared" si="7"/>
        <v>0</v>
      </c>
      <c r="AO26" s="612">
        <f t="shared" si="8"/>
        <v>0</v>
      </c>
    </row>
    <row r="27" spans="1:41" x14ac:dyDescent="0.2">
      <c r="A27" s="502">
        <v>105</v>
      </c>
      <c r="B27" s="503">
        <v>0.375</v>
      </c>
      <c r="C27" s="504">
        <v>2013</v>
      </c>
      <c r="D27" s="504">
        <v>3</v>
      </c>
      <c r="E27" s="504">
        <v>25</v>
      </c>
      <c r="F27" s="505">
        <v>665906</v>
      </c>
      <c r="G27" s="504">
        <v>0</v>
      </c>
      <c r="H27" s="505">
        <v>691986</v>
      </c>
      <c r="I27" s="504">
        <v>0</v>
      </c>
      <c r="J27" s="504">
        <v>0</v>
      </c>
      <c r="K27" s="504">
        <v>0</v>
      </c>
      <c r="L27" s="506">
        <v>323.66289999999998</v>
      </c>
      <c r="M27" s="505">
        <v>21</v>
      </c>
      <c r="N27" s="507">
        <v>0</v>
      </c>
      <c r="O27" s="508">
        <v>7925</v>
      </c>
      <c r="P27" s="493">
        <f t="shared" si="0"/>
        <v>7925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7925</v>
      </c>
      <c r="W27" s="515">
        <f t="shared" si="10"/>
        <v>279868.75974999997</v>
      </c>
      <c r="Y27" s="513">
        <f t="shared" si="11"/>
        <v>69.366601008078788</v>
      </c>
      <c r="Z27" s="510">
        <f t="shared" si="12"/>
        <v>290.42408510062421</v>
      </c>
      <c r="AA27" s="511">
        <f t="shared" si="13"/>
        <v>275.26813953640067</v>
      </c>
      <c r="AE27" s="598" t="str">
        <f t="shared" si="3"/>
        <v>665906</v>
      </c>
      <c r="AF27" s="502">
        <v>105</v>
      </c>
      <c r="AG27" s="606">
        <v>25</v>
      </c>
      <c r="AH27" s="607">
        <v>665908</v>
      </c>
      <c r="AI27" s="608">
        <f t="shared" si="4"/>
        <v>665906</v>
      </c>
      <c r="AJ27" s="609">
        <f t="shared" si="5"/>
        <v>-2</v>
      </c>
      <c r="AL27" s="602">
        <f t="shared" si="6"/>
        <v>7925</v>
      </c>
      <c r="AM27" s="610">
        <f t="shared" si="6"/>
        <v>7925</v>
      </c>
      <c r="AN27" s="611">
        <f t="shared" si="7"/>
        <v>0</v>
      </c>
      <c r="AO27" s="612">
        <f t="shared" si="8"/>
        <v>0</v>
      </c>
    </row>
    <row r="28" spans="1:41" x14ac:dyDescent="0.2">
      <c r="A28" s="502">
        <v>105</v>
      </c>
      <c r="B28" s="503">
        <v>0.375</v>
      </c>
      <c r="C28" s="504">
        <v>2013</v>
      </c>
      <c r="D28" s="504">
        <v>3</v>
      </c>
      <c r="E28" s="504">
        <v>26</v>
      </c>
      <c r="F28" s="505">
        <v>673831</v>
      </c>
      <c r="G28" s="504">
        <v>0</v>
      </c>
      <c r="H28" s="505">
        <v>692328</v>
      </c>
      <c r="I28" s="504">
        <v>0</v>
      </c>
      <c r="J28" s="504">
        <v>0</v>
      </c>
      <c r="K28" s="504">
        <v>0</v>
      </c>
      <c r="L28" s="506">
        <v>317.30369999999999</v>
      </c>
      <c r="M28" s="505">
        <v>21.7</v>
      </c>
      <c r="N28" s="507">
        <v>0</v>
      </c>
      <c r="O28" s="508">
        <v>8147</v>
      </c>
      <c r="P28" s="493">
        <f t="shared" si="0"/>
        <v>8147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8147</v>
      </c>
      <c r="W28" s="515">
        <f t="shared" si="10"/>
        <v>287708.61648999999</v>
      </c>
      <c r="Y28" s="513">
        <f t="shared" si="11"/>
        <v>71.309741124645782</v>
      </c>
      <c r="Z28" s="510">
        <f t="shared" si="12"/>
        <v>298.55962414066698</v>
      </c>
      <c r="AA28" s="511">
        <f t="shared" si="13"/>
        <v>282.97912085842978</v>
      </c>
      <c r="AE28" s="598" t="str">
        <f t="shared" si="3"/>
        <v>673831</v>
      </c>
      <c r="AF28" s="502">
        <v>105</v>
      </c>
      <c r="AG28" s="606">
        <v>26</v>
      </c>
      <c r="AH28" s="607">
        <v>673833</v>
      </c>
      <c r="AI28" s="608">
        <f t="shared" si="4"/>
        <v>673831</v>
      </c>
      <c r="AJ28" s="609">
        <f t="shared" si="5"/>
        <v>-2</v>
      </c>
      <c r="AL28" s="602">
        <f t="shared" si="6"/>
        <v>8147</v>
      </c>
      <c r="AM28" s="610">
        <f t="shared" si="6"/>
        <v>8147</v>
      </c>
      <c r="AN28" s="611">
        <f t="shared" si="7"/>
        <v>0</v>
      </c>
      <c r="AO28" s="612">
        <f t="shared" si="8"/>
        <v>0</v>
      </c>
    </row>
    <row r="29" spans="1:41" x14ac:dyDescent="0.2">
      <c r="A29" s="502">
        <v>105</v>
      </c>
      <c r="B29" s="503">
        <v>0.375</v>
      </c>
      <c r="C29" s="504">
        <v>2013</v>
      </c>
      <c r="D29" s="504">
        <v>3</v>
      </c>
      <c r="E29" s="504">
        <v>27</v>
      </c>
      <c r="F29" s="505">
        <v>681978</v>
      </c>
      <c r="G29" s="504">
        <v>0</v>
      </c>
      <c r="H29" s="505">
        <v>692680</v>
      </c>
      <c r="I29" s="504">
        <v>0</v>
      </c>
      <c r="J29" s="504">
        <v>0</v>
      </c>
      <c r="K29" s="504">
        <v>0</v>
      </c>
      <c r="L29" s="506">
        <v>317.32979999999998</v>
      </c>
      <c r="M29" s="505">
        <v>20.9</v>
      </c>
      <c r="N29" s="507">
        <v>0</v>
      </c>
      <c r="O29" s="508">
        <v>7852</v>
      </c>
      <c r="P29" s="493">
        <f t="shared" si="0"/>
        <v>7852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7852</v>
      </c>
      <c r="W29" s="515">
        <f t="shared" si="10"/>
        <v>277290.78883999999</v>
      </c>
      <c r="Y29" s="513">
        <f t="shared" si="11"/>
        <v>68.727640519297736</v>
      </c>
      <c r="Z29" s="510">
        <f t="shared" si="12"/>
        <v>287.74888532619576</v>
      </c>
      <c r="AA29" s="511">
        <f t="shared" si="13"/>
        <v>272.73254657915686</v>
      </c>
      <c r="AE29" s="598" t="str">
        <f t="shared" si="3"/>
        <v>681978</v>
      </c>
      <c r="AF29" s="502">
        <v>105</v>
      </c>
      <c r="AG29" s="606">
        <v>27</v>
      </c>
      <c r="AH29" s="607">
        <v>681980</v>
      </c>
      <c r="AI29" s="608">
        <f t="shared" si="4"/>
        <v>681978</v>
      </c>
      <c r="AJ29" s="609">
        <f t="shared" si="5"/>
        <v>-2</v>
      </c>
      <c r="AL29" s="602">
        <f t="shared" si="6"/>
        <v>7852</v>
      </c>
      <c r="AM29" s="610">
        <f t="shared" si="6"/>
        <v>7852</v>
      </c>
      <c r="AN29" s="611">
        <f t="shared" si="7"/>
        <v>0</v>
      </c>
      <c r="AO29" s="612">
        <f t="shared" si="8"/>
        <v>0</v>
      </c>
    </row>
    <row r="30" spans="1:41" x14ac:dyDescent="0.2">
      <c r="A30" s="502">
        <v>105</v>
      </c>
      <c r="B30" s="503">
        <v>0.375</v>
      </c>
      <c r="C30" s="504">
        <v>2013</v>
      </c>
      <c r="D30" s="504">
        <v>3</v>
      </c>
      <c r="E30" s="504">
        <v>28</v>
      </c>
      <c r="F30" s="505">
        <v>689830</v>
      </c>
      <c r="G30" s="504">
        <v>0</v>
      </c>
      <c r="H30" s="505">
        <v>693015</v>
      </c>
      <c r="I30" s="504">
        <v>0</v>
      </c>
      <c r="J30" s="504">
        <v>0</v>
      </c>
      <c r="K30" s="504">
        <v>0</v>
      </c>
      <c r="L30" s="506">
        <v>321.29349999999999</v>
      </c>
      <c r="M30" s="505">
        <v>21.6</v>
      </c>
      <c r="N30" s="507">
        <v>0</v>
      </c>
      <c r="O30" s="508">
        <v>7973</v>
      </c>
      <c r="P30" s="493">
        <f t="shared" si="0"/>
        <v>7973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7973</v>
      </c>
      <c r="W30" s="515">
        <f t="shared" si="10"/>
        <v>281563.86391000001</v>
      </c>
      <c r="Y30" s="513">
        <f t="shared" si="11"/>
        <v>69.786739411660832</v>
      </c>
      <c r="Z30" s="510">
        <f t="shared" si="12"/>
        <v>292.18312056874157</v>
      </c>
      <c r="AA30" s="511">
        <f t="shared" si="13"/>
        <v>276.93537874116373</v>
      </c>
      <c r="AE30" s="598" t="str">
        <f t="shared" si="3"/>
        <v>689830</v>
      </c>
      <c r="AF30" s="502">
        <v>105</v>
      </c>
      <c r="AG30" s="606">
        <v>28</v>
      </c>
      <c r="AH30" s="607">
        <v>689832</v>
      </c>
      <c r="AI30" s="608">
        <f t="shared" si="4"/>
        <v>689830</v>
      </c>
      <c r="AJ30" s="609">
        <f t="shared" si="5"/>
        <v>-2</v>
      </c>
      <c r="AL30" s="602">
        <f t="shared" si="6"/>
        <v>7973</v>
      </c>
      <c r="AM30" s="610">
        <f t="shared" si="6"/>
        <v>7973</v>
      </c>
      <c r="AN30" s="611">
        <f t="shared" si="7"/>
        <v>0</v>
      </c>
      <c r="AO30" s="612">
        <f t="shared" si="8"/>
        <v>0</v>
      </c>
    </row>
    <row r="31" spans="1:41" x14ac:dyDescent="0.2">
      <c r="A31" s="502">
        <v>105</v>
      </c>
      <c r="B31" s="503">
        <v>0.375</v>
      </c>
      <c r="C31" s="504">
        <v>2013</v>
      </c>
      <c r="D31" s="504">
        <v>3</v>
      </c>
      <c r="E31" s="504">
        <v>29</v>
      </c>
      <c r="F31" s="505">
        <v>697803</v>
      </c>
      <c r="G31" s="504">
        <v>0</v>
      </c>
      <c r="H31" s="505">
        <v>693350</v>
      </c>
      <c r="I31" s="504">
        <v>0</v>
      </c>
      <c r="J31" s="504">
        <v>0</v>
      </c>
      <c r="K31" s="504">
        <v>0</v>
      </c>
      <c r="L31" s="506">
        <v>325.57749999999999</v>
      </c>
      <c r="M31" s="505">
        <v>21.2</v>
      </c>
      <c r="N31" s="507">
        <v>0</v>
      </c>
      <c r="O31" s="508">
        <v>7344</v>
      </c>
      <c r="P31" s="493">
        <f t="shared" si="0"/>
        <v>7344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7344</v>
      </c>
      <c r="W31" s="515">
        <f t="shared" si="10"/>
        <v>259350.93648</v>
      </c>
      <c r="Y31" s="513">
        <f t="shared" si="11"/>
        <v>64.281175748054324</v>
      </c>
      <c r="Z31" s="510">
        <f t="shared" si="12"/>
        <v>269.13242662195387</v>
      </c>
      <c r="AA31" s="511">
        <f t="shared" si="13"/>
        <v>255.08759832874784</v>
      </c>
      <c r="AE31" s="598" t="str">
        <f t="shared" si="3"/>
        <v>697803</v>
      </c>
      <c r="AF31" s="502">
        <v>105</v>
      </c>
      <c r="AG31" s="606">
        <v>29</v>
      </c>
      <c r="AH31" s="607">
        <v>697805</v>
      </c>
      <c r="AI31" s="608">
        <f t="shared" si="4"/>
        <v>697803</v>
      </c>
      <c r="AJ31" s="609">
        <f t="shared" si="5"/>
        <v>-2</v>
      </c>
      <c r="AL31" s="602">
        <f t="shared" si="6"/>
        <v>7344</v>
      </c>
      <c r="AM31" s="610">
        <f t="shared" si="6"/>
        <v>7344</v>
      </c>
      <c r="AN31" s="611">
        <f t="shared" si="7"/>
        <v>0</v>
      </c>
      <c r="AO31" s="612">
        <f t="shared" si="8"/>
        <v>0</v>
      </c>
    </row>
    <row r="32" spans="1:41" x14ac:dyDescent="0.2">
      <c r="A32" s="502">
        <v>105</v>
      </c>
      <c r="B32" s="503">
        <v>0.375</v>
      </c>
      <c r="C32" s="504">
        <v>2013</v>
      </c>
      <c r="D32" s="504">
        <v>3</v>
      </c>
      <c r="E32" s="504">
        <v>30</v>
      </c>
      <c r="F32" s="505">
        <v>705147</v>
      </c>
      <c r="G32" s="504">
        <v>0</v>
      </c>
      <c r="H32" s="505">
        <v>693659</v>
      </c>
      <c r="I32" s="504">
        <v>0</v>
      </c>
      <c r="J32" s="504">
        <v>0</v>
      </c>
      <c r="K32" s="504">
        <v>0</v>
      </c>
      <c r="L32" s="506">
        <v>325.43490000000003</v>
      </c>
      <c r="M32" s="505">
        <v>21.1</v>
      </c>
      <c r="N32" s="507">
        <v>0</v>
      </c>
      <c r="O32" s="508">
        <v>7414</v>
      </c>
      <c r="P32" s="493">
        <f t="shared" si="0"/>
        <v>7414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7414</v>
      </c>
      <c r="W32" s="515">
        <f t="shared" si="10"/>
        <v>261822.96338</v>
      </c>
      <c r="Y32" s="513">
        <f t="shared" si="11"/>
        <v>64.893877586611481</v>
      </c>
      <c r="Z32" s="510">
        <f t="shared" si="12"/>
        <v>271.69768667962495</v>
      </c>
      <c r="AA32" s="511">
        <f t="shared" si="13"/>
        <v>257.51898883569396</v>
      </c>
      <c r="AE32" s="598" t="str">
        <f t="shared" si="3"/>
        <v>705147</v>
      </c>
      <c r="AF32" s="502">
        <v>105</v>
      </c>
      <c r="AG32" s="606">
        <v>30</v>
      </c>
      <c r="AH32" s="607">
        <v>705149</v>
      </c>
      <c r="AI32" s="608">
        <f t="shared" si="4"/>
        <v>705147</v>
      </c>
      <c r="AJ32" s="609">
        <f t="shared" si="5"/>
        <v>-2</v>
      </c>
      <c r="AL32" s="602">
        <f t="shared" si="6"/>
        <v>7414</v>
      </c>
      <c r="AM32" s="610">
        <f t="shared" si="6"/>
        <v>7414</v>
      </c>
      <c r="AN32" s="611">
        <f t="shared" si="7"/>
        <v>0</v>
      </c>
      <c r="AO32" s="612">
        <f t="shared" si="8"/>
        <v>0</v>
      </c>
    </row>
    <row r="33" spans="1:41" ht="13.5" thickBot="1" x14ac:dyDescent="0.25">
      <c r="A33" s="502">
        <v>105</v>
      </c>
      <c r="B33" s="503">
        <v>0.375</v>
      </c>
      <c r="C33" s="504">
        <v>2013</v>
      </c>
      <c r="D33" s="504">
        <v>3</v>
      </c>
      <c r="E33" s="504">
        <v>31</v>
      </c>
      <c r="F33" s="505">
        <v>712561</v>
      </c>
      <c r="G33" s="504">
        <v>0</v>
      </c>
      <c r="H33" s="505">
        <v>693971</v>
      </c>
      <c r="I33" s="504">
        <v>0</v>
      </c>
      <c r="J33" s="504">
        <v>0</v>
      </c>
      <c r="K33" s="504">
        <v>0</v>
      </c>
      <c r="L33" s="506">
        <v>325.3467</v>
      </c>
      <c r="M33" s="505">
        <v>21.4</v>
      </c>
      <c r="N33" s="507">
        <v>0</v>
      </c>
      <c r="O33" s="508">
        <v>7556</v>
      </c>
      <c r="P33" s="493">
        <f t="shared" si="0"/>
        <v>7556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7556</v>
      </c>
      <c r="W33" s="519">
        <f t="shared" si="10"/>
        <v>266837.64652000001</v>
      </c>
      <c r="Y33" s="513">
        <f t="shared" si="11"/>
        <v>66.13678703054174</v>
      </c>
      <c r="Z33" s="510">
        <f t="shared" si="12"/>
        <v>276.90149993947216</v>
      </c>
      <c r="AA33" s="511">
        <f t="shared" si="13"/>
        <v>262.45123814978467</v>
      </c>
      <c r="AE33" s="598" t="str">
        <f t="shared" si="3"/>
        <v>712561</v>
      </c>
      <c r="AF33" s="502">
        <v>105</v>
      </c>
      <c r="AG33" s="606">
        <v>31</v>
      </c>
      <c r="AH33" s="607">
        <v>712563</v>
      </c>
      <c r="AI33" s="608">
        <f t="shared" si="4"/>
        <v>712561</v>
      </c>
      <c r="AJ33" s="609">
        <f t="shared" si="5"/>
        <v>-2</v>
      </c>
      <c r="AL33" s="602">
        <f t="shared" si="6"/>
        <v>7553</v>
      </c>
      <c r="AM33" s="613">
        <f t="shared" si="6"/>
        <v>7556</v>
      </c>
      <c r="AN33" s="611">
        <f t="shared" si="7"/>
        <v>3</v>
      </c>
      <c r="AO33" s="612">
        <f t="shared" si="8"/>
        <v>3.9703546850185283E-4</v>
      </c>
    </row>
    <row r="34" spans="1:41" ht="13.5" thickBot="1" x14ac:dyDescent="0.25">
      <c r="A34" s="148">
        <v>105</v>
      </c>
      <c r="B34" s="520">
        <v>0.375</v>
      </c>
      <c r="C34" s="146">
        <v>2013</v>
      </c>
      <c r="D34" s="146">
        <v>4</v>
      </c>
      <c r="E34" s="146">
        <v>1</v>
      </c>
      <c r="F34" s="521">
        <v>720117</v>
      </c>
      <c r="G34" s="146">
        <v>0</v>
      </c>
      <c r="H34" s="521">
        <v>694290</v>
      </c>
      <c r="I34" s="146">
        <v>0</v>
      </c>
      <c r="J34" s="146">
        <v>0</v>
      </c>
      <c r="K34" s="146">
        <v>0</v>
      </c>
      <c r="L34" s="522">
        <v>323.97919999999999</v>
      </c>
      <c r="M34" s="521">
        <v>21.6</v>
      </c>
      <c r="N34" s="523">
        <v>0</v>
      </c>
      <c r="O34" s="524">
        <v>6281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720117</v>
      </c>
      <c r="AF34" s="148">
        <v>105</v>
      </c>
      <c r="AG34" s="614">
        <v>1</v>
      </c>
      <c r="AH34" s="615">
        <v>720116</v>
      </c>
      <c r="AI34" s="616">
        <f t="shared" si="4"/>
        <v>720117</v>
      </c>
      <c r="AJ34" s="617">
        <f t="shared" si="5"/>
        <v>1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327.31760000000003</v>
      </c>
      <c r="M36" s="535">
        <f>MAX(M3:M34)</f>
        <v>22.1</v>
      </c>
      <c r="N36" s="533" t="s">
        <v>68</v>
      </c>
      <c r="O36" s="535">
        <f>SUM(O3:O33)</f>
        <v>291166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291166</v>
      </c>
      <c r="W36" s="539">
        <f>SUM(W3:W33)</f>
        <v>10282431.205220001</v>
      </c>
      <c r="Y36" s="540">
        <f>SUM(Y3:Y33)</f>
        <v>2534.8940271958172</v>
      </c>
      <c r="Z36" s="541">
        <f>SUM(Z3:Z33)</f>
        <v>10613.094313063448</v>
      </c>
      <c r="AA36" s="542">
        <f>SUM(AA3:AA33)</f>
        <v>10059.243968244322</v>
      </c>
      <c r="AF36" s="621" t="s">
        <v>208</v>
      </c>
      <c r="AG36" s="534">
        <f>COUNT(AG3:AG34)</f>
        <v>29</v>
      </c>
      <c r="AJ36" s="622">
        <f>SUM(AJ3:AJ33)</f>
        <v>1322040</v>
      </c>
      <c r="AK36" s="623" t="s">
        <v>176</v>
      </c>
      <c r="AL36" s="624"/>
      <c r="AM36" s="624"/>
      <c r="AN36" s="622">
        <f>SUM(AN3:AN33)</f>
        <v>-428950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319.86017500000003</v>
      </c>
      <c r="M37" s="543">
        <f>AVERAGE(M3:M34)</f>
        <v>21.275000000000002</v>
      </c>
      <c r="N37" s="533" t="s">
        <v>172</v>
      </c>
      <c r="O37" s="544">
        <f>O36*35.31467</f>
        <v>10282431.205219999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3</v>
      </c>
      <c r="AN37" s="627">
        <f>IFERROR(AN36/SUM(AM3:AM33),"")</f>
        <v>-1.4732145923631192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307.69040000000001</v>
      </c>
      <c r="M38" s="544">
        <f>MIN(M3:M34)</f>
        <v>19.600000000000001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351.84619250000003</v>
      </c>
      <c r="M44" s="551">
        <f>M37*(1+$L$43)</f>
        <v>23.402500000000003</v>
      </c>
    </row>
    <row r="45" spans="1:41" x14ac:dyDescent="0.2">
      <c r="K45" s="550" t="s">
        <v>186</v>
      </c>
      <c r="L45" s="551">
        <f>L37*(1-$L$43)</f>
        <v>287.87415750000002</v>
      </c>
      <c r="M45" s="551">
        <f>M37*(1-$L$43)</f>
        <v>19.147500000000001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391" priority="47" stopIfTrue="1" operator="lessThan">
      <formula>$L$45</formula>
    </cfRule>
    <cfRule type="cellIs" dxfId="1390" priority="48" stopIfTrue="1" operator="greaterThan">
      <formula>$L$44</formula>
    </cfRule>
  </conditionalFormatting>
  <conditionalFormatting sqref="M3:M34">
    <cfRule type="cellIs" dxfId="1389" priority="45" stopIfTrue="1" operator="lessThan">
      <formula>$M$45</formula>
    </cfRule>
    <cfRule type="cellIs" dxfId="1388" priority="46" stopIfTrue="1" operator="greaterThan">
      <formula>$M$44</formula>
    </cfRule>
  </conditionalFormatting>
  <conditionalFormatting sqref="O3:O34">
    <cfRule type="cellIs" dxfId="1387" priority="44" stopIfTrue="1" operator="lessThan">
      <formula>0</formula>
    </cfRule>
  </conditionalFormatting>
  <conditionalFormatting sqref="O3:O33">
    <cfRule type="cellIs" dxfId="1386" priority="43" stopIfTrue="1" operator="lessThan">
      <formula>0</formula>
    </cfRule>
  </conditionalFormatting>
  <conditionalFormatting sqref="O3">
    <cfRule type="cellIs" dxfId="1385" priority="42" stopIfTrue="1" operator="notEqual">
      <formula>$P$3</formula>
    </cfRule>
  </conditionalFormatting>
  <conditionalFormatting sqref="O4">
    <cfRule type="cellIs" dxfId="1384" priority="41" stopIfTrue="1" operator="notEqual">
      <formula>P$4</formula>
    </cfRule>
  </conditionalFormatting>
  <conditionalFormatting sqref="O5">
    <cfRule type="cellIs" dxfId="1383" priority="40" stopIfTrue="1" operator="notEqual">
      <formula>$P$5</formula>
    </cfRule>
  </conditionalFormatting>
  <conditionalFormatting sqref="O6">
    <cfRule type="cellIs" dxfId="1382" priority="39" stopIfTrue="1" operator="notEqual">
      <formula>$P$6</formula>
    </cfRule>
  </conditionalFormatting>
  <conditionalFormatting sqref="O7">
    <cfRule type="cellIs" dxfId="1381" priority="38" stopIfTrue="1" operator="notEqual">
      <formula>$P$7</formula>
    </cfRule>
  </conditionalFormatting>
  <conditionalFormatting sqref="O8">
    <cfRule type="cellIs" dxfId="1380" priority="37" stopIfTrue="1" operator="notEqual">
      <formula>$P$8</formula>
    </cfRule>
  </conditionalFormatting>
  <conditionalFormatting sqref="O9">
    <cfRule type="cellIs" dxfId="1379" priority="36" stopIfTrue="1" operator="notEqual">
      <formula>$P$9</formula>
    </cfRule>
  </conditionalFormatting>
  <conditionalFormatting sqref="O10">
    <cfRule type="cellIs" dxfId="1378" priority="34" stopIfTrue="1" operator="notEqual">
      <formula>$P$10</formula>
    </cfRule>
    <cfRule type="cellIs" dxfId="1377" priority="35" stopIfTrue="1" operator="greaterThan">
      <formula>$P$10</formula>
    </cfRule>
  </conditionalFormatting>
  <conditionalFormatting sqref="O11">
    <cfRule type="cellIs" dxfId="1376" priority="32" stopIfTrue="1" operator="notEqual">
      <formula>$P$11</formula>
    </cfRule>
    <cfRule type="cellIs" dxfId="1375" priority="33" stopIfTrue="1" operator="greaterThan">
      <formula>$P$11</formula>
    </cfRule>
  </conditionalFormatting>
  <conditionalFormatting sqref="O12">
    <cfRule type="cellIs" dxfId="1374" priority="31" stopIfTrue="1" operator="notEqual">
      <formula>$P$12</formula>
    </cfRule>
  </conditionalFormatting>
  <conditionalFormatting sqref="O14">
    <cfRule type="cellIs" dxfId="1373" priority="30" stopIfTrue="1" operator="notEqual">
      <formula>$P$14</formula>
    </cfRule>
  </conditionalFormatting>
  <conditionalFormatting sqref="O15">
    <cfRule type="cellIs" dxfId="1372" priority="29" stopIfTrue="1" operator="notEqual">
      <formula>$P$15</formula>
    </cfRule>
  </conditionalFormatting>
  <conditionalFormatting sqref="O16">
    <cfRule type="cellIs" dxfId="1371" priority="28" stopIfTrue="1" operator="notEqual">
      <formula>$P$16</formula>
    </cfRule>
  </conditionalFormatting>
  <conditionalFormatting sqref="O17">
    <cfRule type="cellIs" dxfId="1370" priority="27" stopIfTrue="1" operator="notEqual">
      <formula>$P$17</formula>
    </cfRule>
  </conditionalFormatting>
  <conditionalFormatting sqref="O18">
    <cfRule type="cellIs" dxfId="1369" priority="26" stopIfTrue="1" operator="notEqual">
      <formula>$P$18</formula>
    </cfRule>
  </conditionalFormatting>
  <conditionalFormatting sqref="O19">
    <cfRule type="cellIs" dxfId="1368" priority="24" stopIfTrue="1" operator="notEqual">
      <formula>$P$19</formula>
    </cfRule>
    <cfRule type="cellIs" dxfId="1367" priority="25" stopIfTrue="1" operator="greaterThan">
      <formula>$P$19</formula>
    </cfRule>
  </conditionalFormatting>
  <conditionalFormatting sqref="O20">
    <cfRule type="cellIs" dxfId="1366" priority="22" stopIfTrue="1" operator="notEqual">
      <formula>$P$20</formula>
    </cfRule>
    <cfRule type="cellIs" dxfId="1365" priority="23" stopIfTrue="1" operator="greaterThan">
      <formula>$P$20</formula>
    </cfRule>
  </conditionalFormatting>
  <conditionalFormatting sqref="O21">
    <cfRule type="cellIs" dxfId="1364" priority="21" stopIfTrue="1" operator="notEqual">
      <formula>$P$21</formula>
    </cfRule>
  </conditionalFormatting>
  <conditionalFormatting sqref="O22">
    <cfRule type="cellIs" dxfId="1363" priority="20" stopIfTrue="1" operator="notEqual">
      <formula>$P$22</formula>
    </cfRule>
  </conditionalFormatting>
  <conditionalFormatting sqref="O23">
    <cfRule type="cellIs" dxfId="1362" priority="19" stopIfTrue="1" operator="notEqual">
      <formula>$P$23</formula>
    </cfRule>
  </conditionalFormatting>
  <conditionalFormatting sqref="O24">
    <cfRule type="cellIs" dxfId="1361" priority="17" stopIfTrue="1" operator="notEqual">
      <formula>$P$24</formula>
    </cfRule>
    <cfRule type="cellIs" dxfId="1360" priority="18" stopIfTrue="1" operator="greaterThan">
      <formula>$P$24</formula>
    </cfRule>
  </conditionalFormatting>
  <conditionalFormatting sqref="O25">
    <cfRule type="cellIs" dxfId="1359" priority="15" stopIfTrue="1" operator="notEqual">
      <formula>$P$25</formula>
    </cfRule>
    <cfRule type="cellIs" dxfId="1358" priority="16" stopIfTrue="1" operator="greaterThan">
      <formula>$P$25</formula>
    </cfRule>
  </conditionalFormatting>
  <conditionalFormatting sqref="O26">
    <cfRule type="cellIs" dxfId="1357" priority="14" stopIfTrue="1" operator="notEqual">
      <formula>$P$26</formula>
    </cfRule>
  </conditionalFormatting>
  <conditionalFormatting sqref="O27">
    <cfRule type="cellIs" dxfId="1356" priority="13" stopIfTrue="1" operator="notEqual">
      <formula>$P$27</formula>
    </cfRule>
  </conditionalFormatting>
  <conditionalFormatting sqref="O28">
    <cfRule type="cellIs" dxfId="1355" priority="12" stopIfTrue="1" operator="notEqual">
      <formula>$P$28</formula>
    </cfRule>
  </conditionalFormatting>
  <conditionalFormatting sqref="O29">
    <cfRule type="cellIs" dxfId="1354" priority="11" stopIfTrue="1" operator="notEqual">
      <formula>$P$29</formula>
    </cfRule>
  </conditionalFormatting>
  <conditionalFormatting sqref="O30">
    <cfRule type="cellIs" dxfId="1353" priority="10" stopIfTrue="1" operator="notEqual">
      <formula>$P$30</formula>
    </cfRule>
  </conditionalFormatting>
  <conditionalFormatting sqref="O31">
    <cfRule type="cellIs" dxfId="1352" priority="8" stopIfTrue="1" operator="notEqual">
      <formula>$P$31</formula>
    </cfRule>
    <cfRule type="cellIs" dxfId="1351" priority="9" stopIfTrue="1" operator="greaterThan">
      <formula>$P$31</formula>
    </cfRule>
  </conditionalFormatting>
  <conditionalFormatting sqref="O32">
    <cfRule type="cellIs" dxfId="1350" priority="6" stopIfTrue="1" operator="notEqual">
      <formula>$P$32</formula>
    </cfRule>
    <cfRule type="cellIs" dxfId="1349" priority="7" stopIfTrue="1" operator="greaterThan">
      <formula>$P$32</formula>
    </cfRule>
  </conditionalFormatting>
  <conditionalFormatting sqref="O33">
    <cfRule type="cellIs" dxfId="1348" priority="5" stopIfTrue="1" operator="notEqual">
      <formula>$P$33</formula>
    </cfRule>
  </conditionalFormatting>
  <conditionalFormatting sqref="O13">
    <cfRule type="cellIs" dxfId="1347" priority="4" stopIfTrue="1" operator="notEqual">
      <formula>$P$13</formula>
    </cfRule>
  </conditionalFormatting>
  <conditionalFormatting sqref="AG3:AG34">
    <cfRule type="cellIs" dxfId="1346" priority="3" stopIfTrue="1" operator="notEqual">
      <formula>E3</formula>
    </cfRule>
  </conditionalFormatting>
  <conditionalFormatting sqref="AH3:AH34">
    <cfRule type="cellIs" dxfId="1345" priority="2" stopIfTrue="1" operator="notBetween">
      <formula>AI3+$AG$40</formula>
      <formula>AI3-$AG$40</formula>
    </cfRule>
  </conditionalFormatting>
  <conditionalFormatting sqref="AL3:AL33">
    <cfRule type="cellIs" dxfId="13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14" bestFit="1" customWidth="1"/>
    <col min="2" max="2" width="11.85546875" style="114" bestFit="1" customWidth="1"/>
    <col min="3" max="5" width="8.7109375" style="114" customWidth="1"/>
    <col min="6" max="6" width="13.7109375" style="114" bestFit="1" customWidth="1"/>
    <col min="7" max="7" width="11.7109375" style="114" customWidth="1"/>
    <col min="8" max="8" width="13.7109375" style="114" bestFit="1" customWidth="1"/>
    <col min="9" max="9" width="11.7109375" style="114" customWidth="1"/>
    <col min="10" max="10" width="16.42578125" style="114" customWidth="1"/>
    <col min="11" max="11" width="14.5703125" style="114" customWidth="1"/>
    <col min="12" max="12" width="11.7109375" style="114" customWidth="1"/>
    <col min="13" max="13" width="13.7109375" style="114" bestFit="1" customWidth="1"/>
    <col min="14" max="14" width="11.7109375" style="114" customWidth="1"/>
    <col min="15" max="15" width="15.28515625" style="114" bestFit="1" customWidth="1"/>
    <col min="16" max="16" width="7" style="114" customWidth="1"/>
    <col min="17" max="17" width="4.7109375" style="114" customWidth="1"/>
    <col min="18" max="18" width="11.42578125" style="114"/>
    <col min="19" max="19" width="11.85546875" style="114" bestFit="1" customWidth="1"/>
    <col min="20" max="20" width="11.42578125" style="114"/>
    <col min="21" max="21" width="4" style="114" customWidth="1"/>
    <col min="22" max="22" width="11.85546875" style="114" bestFit="1" customWidth="1"/>
    <col min="23" max="23" width="14.140625" style="114" bestFit="1" customWidth="1"/>
    <col min="24" max="24" width="3" style="114" customWidth="1"/>
    <col min="25" max="30" width="11.42578125" style="114"/>
    <col min="31" max="31" width="12.42578125" style="589" customWidth="1"/>
    <col min="32" max="32" width="18.85546875" style="589" bestFit="1" customWidth="1"/>
    <col min="33" max="33" width="9.5703125" style="589" customWidth="1"/>
    <col min="34" max="35" width="13" style="589" customWidth="1"/>
    <col min="36" max="36" width="14.5703125" style="589" bestFit="1" customWidth="1"/>
    <col min="37" max="37" width="4.85546875" style="589" customWidth="1"/>
    <col min="38" max="39" width="12.85546875" style="589" customWidth="1"/>
    <col min="40" max="40" width="11.5703125" style="589" bestFit="1" customWidth="1"/>
    <col min="41" max="55" width="11.42578125" style="589"/>
    <col min="56" max="16384" width="11.42578125" style="114"/>
  </cols>
  <sheetData>
    <row r="1" spans="1:41" ht="13.5" thickBot="1" x14ac:dyDescent="0.25">
      <c r="AJ1" s="590" t="s">
        <v>199</v>
      </c>
    </row>
    <row r="2" spans="1:41" ht="51.75" thickBot="1" x14ac:dyDescent="0.25">
      <c r="A2" s="473" t="s">
        <v>142</v>
      </c>
      <c r="B2" s="474" t="s">
        <v>143</v>
      </c>
      <c r="C2" s="474" t="s">
        <v>144</v>
      </c>
      <c r="D2" s="474" t="s">
        <v>145</v>
      </c>
      <c r="E2" s="474" t="s">
        <v>150</v>
      </c>
      <c r="F2" s="475" t="s">
        <v>151</v>
      </c>
      <c r="G2" s="475" t="s">
        <v>146</v>
      </c>
      <c r="H2" s="475" t="s">
        <v>152</v>
      </c>
      <c r="I2" s="475" t="s">
        <v>153</v>
      </c>
      <c r="J2" s="475" t="s">
        <v>154</v>
      </c>
      <c r="K2" s="475" t="s">
        <v>155</v>
      </c>
      <c r="L2" s="475" t="s">
        <v>156</v>
      </c>
      <c r="M2" s="475" t="s">
        <v>157</v>
      </c>
      <c r="N2" s="476" t="s">
        <v>158</v>
      </c>
      <c r="O2" s="477" t="s">
        <v>159</v>
      </c>
      <c r="Q2" s="478" t="s">
        <v>160</v>
      </c>
      <c r="R2" s="479" t="s">
        <v>161</v>
      </c>
      <c r="S2" s="480" t="s">
        <v>162</v>
      </c>
      <c r="T2" s="481" t="s">
        <v>163</v>
      </c>
      <c r="V2" s="481" t="s">
        <v>164</v>
      </c>
      <c r="W2" s="482" t="s">
        <v>165</v>
      </c>
      <c r="Y2" s="483" t="s">
        <v>166</v>
      </c>
      <c r="Z2" s="484" t="s">
        <v>167</v>
      </c>
      <c r="AA2" s="485" t="s">
        <v>168</v>
      </c>
      <c r="AF2" s="591" t="s">
        <v>200</v>
      </c>
      <c r="AG2" s="592" t="s">
        <v>150</v>
      </c>
      <c r="AH2" s="593" t="s">
        <v>201</v>
      </c>
      <c r="AI2" s="594" t="s">
        <v>202</v>
      </c>
      <c r="AJ2" s="595" t="s">
        <v>203</v>
      </c>
      <c r="AL2" s="596" t="s">
        <v>204</v>
      </c>
      <c r="AM2" s="597" t="s">
        <v>205</v>
      </c>
      <c r="AN2" s="482" t="s">
        <v>206</v>
      </c>
      <c r="AO2" s="482" t="s">
        <v>207</v>
      </c>
    </row>
    <row r="3" spans="1:41" x14ac:dyDescent="0.2">
      <c r="A3" s="486">
        <v>101</v>
      </c>
      <c r="B3" s="487">
        <v>0.375</v>
      </c>
      <c r="C3" s="488">
        <v>2013</v>
      </c>
      <c r="D3" s="488">
        <v>3</v>
      </c>
      <c r="E3" s="488">
        <v>1</v>
      </c>
      <c r="F3" s="489">
        <v>506715</v>
      </c>
      <c r="G3" s="488">
        <v>22996348</v>
      </c>
      <c r="H3" s="489">
        <v>770692</v>
      </c>
      <c r="I3" s="488">
        <v>7706920</v>
      </c>
      <c r="J3" s="488">
        <v>0</v>
      </c>
      <c r="K3" s="488">
        <v>6</v>
      </c>
      <c r="L3" s="490">
        <v>313.666</v>
      </c>
      <c r="M3" s="489">
        <v>18.98</v>
      </c>
      <c r="N3" s="491">
        <v>483.67</v>
      </c>
      <c r="O3" s="492">
        <v>1135</v>
      </c>
      <c r="P3" s="493">
        <f>F4-F3</f>
        <v>1135</v>
      </c>
      <c r="Q3" s="114">
        <v>1</v>
      </c>
      <c r="R3" s="494">
        <f>S3/4.1868</f>
        <v>8624.7192114860518</v>
      </c>
      <c r="S3" s="495">
        <f>'Balance de Energía'!AR11</f>
        <v>36109.974394649798</v>
      </c>
      <c r="T3" s="496">
        <f>R3*0.11237</f>
        <v>969.15969779468765</v>
      </c>
      <c r="U3" s="497"/>
      <c r="V3" s="496">
        <f>O3</f>
        <v>1135</v>
      </c>
      <c r="W3" s="498">
        <f>V3*35.31467</f>
        <v>40082.150450000001</v>
      </c>
      <c r="X3" s="497"/>
      <c r="Y3" s="499">
        <f>V3*R3/1000000</f>
        <v>9.7890563050366701</v>
      </c>
      <c r="Z3" s="500">
        <f>S3*V3/1000000</f>
        <v>40.984820937927523</v>
      </c>
      <c r="AA3" s="501">
        <f>W3*T3/1000000</f>
        <v>38.846004817083205</v>
      </c>
      <c r="AE3" s="598" t="str">
        <f>RIGHT(F3,6)</f>
        <v>506715</v>
      </c>
      <c r="AF3" s="486">
        <v>101</v>
      </c>
      <c r="AG3" s="491">
        <v>1</v>
      </c>
      <c r="AH3" s="599">
        <v>506715</v>
      </c>
      <c r="AI3" s="600">
        <f>IFERROR(AE3*1,0)</f>
        <v>506715</v>
      </c>
      <c r="AJ3" s="601">
        <f>(AI3-AH3)</f>
        <v>0</v>
      </c>
      <c r="AL3" s="602">
        <f>AH4-AH3</f>
        <v>1135</v>
      </c>
      <c r="AM3" s="603">
        <f>AI4-AI3</f>
        <v>1135</v>
      </c>
      <c r="AN3" s="604">
        <f>(AM3-AL3)</f>
        <v>0</v>
      </c>
      <c r="AO3" s="605">
        <f>IFERROR(AN3/AM3,"")</f>
        <v>0</v>
      </c>
    </row>
    <row r="4" spans="1:41" x14ac:dyDescent="0.2">
      <c r="A4" s="502">
        <v>101</v>
      </c>
      <c r="B4" s="503">
        <v>0.375</v>
      </c>
      <c r="C4" s="504">
        <v>2013</v>
      </c>
      <c r="D4" s="504">
        <v>3</v>
      </c>
      <c r="E4" s="504">
        <v>2</v>
      </c>
      <c r="F4" s="505">
        <v>507850</v>
      </c>
      <c r="G4" s="504">
        <v>0</v>
      </c>
      <c r="H4" s="505">
        <v>96538</v>
      </c>
      <c r="I4" s="504">
        <v>0</v>
      </c>
      <c r="J4" s="504">
        <v>0</v>
      </c>
      <c r="K4" s="504">
        <v>0</v>
      </c>
      <c r="L4" s="506">
        <v>313.8981</v>
      </c>
      <c r="M4" s="505">
        <v>7.5</v>
      </c>
      <c r="N4" s="507">
        <v>0</v>
      </c>
      <c r="O4" s="508">
        <v>1182</v>
      </c>
      <c r="P4" s="493">
        <f t="shared" ref="P4:P33" si="0">F5-F4</f>
        <v>1182</v>
      </c>
      <c r="Q4" s="114">
        <v>2</v>
      </c>
      <c r="R4" s="509">
        <f t="shared" ref="R4:R33" si="1">S4/4.1868</f>
        <v>8617.1639232164671</v>
      </c>
      <c r="S4" s="510">
        <f>'Balance de Energía'!AR12</f>
        <v>36078.341913722703</v>
      </c>
      <c r="T4" s="511">
        <f>R4*0.11237</f>
        <v>968.31071005183435</v>
      </c>
      <c r="U4" s="497"/>
      <c r="V4" s="511">
        <f t="shared" ref="V4:V33" si="2">O4</f>
        <v>1182</v>
      </c>
      <c r="W4" s="512">
        <f>V4*35.31467</f>
        <v>41741.939939999997</v>
      </c>
      <c r="X4" s="497"/>
      <c r="Y4" s="513">
        <f>V4*R4/1000000</f>
        <v>10.185487757241864</v>
      </c>
      <c r="Z4" s="510">
        <f>S4*V4/1000000</f>
        <v>42.644600142020231</v>
      </c>
      <c r="AA4" s="511">
        <f>W4*T4/1000000</f>
        <v>40.419167502242423</v>
      </c>
      <c r="AE4" s="598" t="str">
        <f t="shared" ref="AE4:AE34" si="3">RIGHT(F4,6)</f>
        <v>507850</v>
      </c>
      <c r="AF4" s="502">
        <v>101</v>
      </c>
      <c r="AG4" s="606">
        <v>2</v>
      </c>
      <c r="AH4" s="607">
        <v>507850</v>
      </c>
      <c r="AI4" s="608">
        <f t="shared" ref="AI4:AI34" si="4">IFERROR(AE4*1,0)</f>
        <v>507850</v>
      </c>
      <c r="AJ4" s="609">
        <f t="shared" ref="AJ4:AJ34" si="5">(AI4-AH4)</f>
        <v>0</v>
      </c>
      <c r="AL4" s="602">
        <f t="shared" ref="AL4:AM33" si="6">AH5-AH4</f>
        <v>1182</v>
      </c>
      <c r="AM4" s="610">
        <f t="shared" si="6"/>
        <v>1182</v>
      </c>
      <c r="AN4" s="611">
        <f t="shared" ref="AN4:AN33" si="7">(AM4-AL4)</f>
        <v>0</v>
      </c>
      <c r="AO4" s="612">
        <f t="shared" ref="AO4:AO33" si="8">IFERROR(AN4/AM4,"")</f>
        <v>0</v>
      </c>
    </row>
    <row r="5" spans="1:41" x14ac:dyDescent="0.2">
      <c r="A5" s="502">
        <v>101</v>
      </c>
      <c r="B5" s="503">
        <v>0.375</v>
      </c>
      <c r="C5" s="504">
        <v>2013</v>
      </c>
      <c r="D5" s="504">
        <v>3</v>
      </c>
      <c r="E5" s="504">
        <v>3</v>
      </c>
      <c r="F5" s="505">
        <v>509032</v>
      </c>
      <c r="G5" s="504">
        <v>0</v>
      </c>
      <c r="H5" s="505">
        <v>96586</v>
      </c>
      <c r="I5" s="504">
        <v>0</v>
      </c>
      <c r="J5" s="504">
        <v>0</v>
      </c>
      <c r="K5" s="504">
        <v>0</v>
      </c>
      <c r="L5" s="506">
        <v>318.12490000000003</v>
      </c>
      <c r="M5" s="505">
        <v>5.4</v>
      </c>
      <c r="N5" s="507">
        <v>0</v>
      </c>
      <c r="O5" s="508">
        <v>1088</v>
      </c>
      <c r="P5" s="493">
        <f t="shared" si="0"/>
        <v>1088</v>
      </c>
      <c r="Q5" s="114">
        <v>3</v>
      </c>
      <c r="R5" s="509">
        <f t="shared" si="1"/>
        <v>8640.1773784825637</v>
      </c>
      <c r="S5" s="510">
        <f>'Balance de Energía'!AR13</f>
        <v>36174.694648230798</v>
      </c>
      <c r="T5" s="511">
        <f t="shared" ref="T5:T33" si="9">R5*0.11237</f>
        <v>970.89673202008566</v>
      </c>
      <c r="U5" s="497"/>
      <c r="V5" s="511">
        <f t="shared" si="2"/>
        <v>1088</v>
      </c>
      <c r="W5" s="512">
        <f t="shared" ref="W5:W33" si="10">V5*35.31467</f>
        <v>38422.360959999998</v>
      </c>
      <c r="X5" s="497"/>
      <c r="Y5" s="513">
        <f t="shared" ref="Y5:Y33" si="11">V5*R5/1000000</f>
        <v>9.4005129877890301</v>
      </c>
      <c r="Z5" s="510">
        <f t="shared" ref="Z5:Z33" si="12">S5*V5/1000000</f>
        <v>39.35806777727511</v>
      </c>
      <c r="AA5" s="511">
        <f t="shared" ref="AA5:AA33" si="13">W5*T5/1000000</f>
        <v>37.304144692560122</v>
      </c>
      <c r="AE5" s="598" t="str">
        <f t="shared" si="3"/>
        <v>509032</v>
      </c>
      <c r="AF5" s="502">
        <v>101</v>
      </c>
      <c r="AG5" s="606">
        <v>3</v>
      </c>
      <c r="AH5" s="607">
        <v>509032</v>
      </c>
      <c r="AI5" s="608">
        <f t="shared" si="4"/>
        <v>509032</v>
      </c>
      <c r="AJ5" s="609">
        <f t="shared" si="5"/>
        <v>0</v>
      </c>
      <c r="AL5" s="602">
        <f t="shared" si="6"/>
        <v>1088</v>
      </c>
      <c r="AM5" s="610">
        <f t="shared" si="6"/>
        <v>1088</v>
      </c>
      <c r="AN5" s="611">
        <f t="shared" si="7"/>
        <v>0</v>
      </c>
      <c r="AO5" s="612">
        <f t="shared" si="8"/>
        <v>0</v>
      </c>
    </row>
    <row r="6" spans="1:41" x14ac:dyDescent="0.2">
      <c r="A6" s="502">
        <v>101</v>
      </c>
      <c r="B6" s="503">
        <v>0.375</v>
      </c>
      <c r="C6" s="504">
        <v>2013</v>
      </c>
      <c r="D6" s="504">
        <v>3</v>
      </c>
      <c r="E6" s="504">
        <v>4</v>
      </c>
      <c r="F6" s="505">
        <v>510120</v>
      </c>
      <c r="G6" s="504">
        <v>0</v>
      </c>
      <c r="H6" s="505">
        <v>96630</v>
      </c>
      <c r="I6" s="504">
        <v>0</v>
      </c>
      <c r="J6" s="504">
        <v>0</v>
      </c>
      <c r="K6" s="504">
        <v>0</v>
      </c>
      <c r="L6" s="506">
        <v>318.06869999999998</v>
      </c>
      <c r="M6" s="505">
        <v>6.3</v>
      </c>
      <c r="N6" s="507">
        <v>0</v>
      </c>
      <c r="O6" s="508">
        <v>1042</v>
      </c>
      <c r="P6" s="493">
        <f t="shared" si="0"/>
        <v>1042</v>
      </c>
      <c r="Q6" s="114">
        <v>4</v>
      </c>
      <c r="R6" s="509">
        <f t="shared" si="1"/>
        <v>8671.0358618666523</v>
      </c>
      <c r="S6" s="510">
        <f>'Balance de Energía'!AR14</f>
        <v>36303.892946463297</v>
      </c>
      <c r="T6" s="511">
        <f t="shared" si="9"/>
        <v>974.36429979795571</v>
      </c>
      <c r="U6" s="497"/>
      <c r="V6" s="511">
        <f t="shared" si="2"/>
        <v>1042</v>
      </c>
      <c r="W6" s="512">
        <f t="shared" si="10"/>
        <v>36797.886140000002</v>
      </c>
      <c r="X6" s="497"/>
      <c r="Y6" s="513">
        <f t="shared" si="11"/>
        <v>9.0352193680650519</v>
      </c>
      <c r="Z6" s="510">
        <f t="shared" si="12"/>
        <v>37.828656450214758</v>
      </c>
      <c r="AA6" s="511">
        <f t="shared" si="13"/>
        <v>35.854546562846004</v>
      </c>
      <c r="AE6" s="598" t="str">
        <f t="shared" si="3"/>
        <v>510120</v>
      </c>
      <c r="AF6" s="502">
        <v>101</v>
      </c>
      <c r="AG6" s="606">
        <v>4</v>
      </c>
      <c r="AH6" s="607">
        <v>510120</v>
      </c>
      <c r="AI6" s="608">
        <f t="shared" si="4"/>
        <v>510120</v>
      </c>
      <c r="AJ6" s="609">
        <f t="shared" si="5"/>
        <v>0</v>
      </c>
      <c r="AL6" s="602">
        <f t="shared" si="6"/>
        <v>1042</v>
      </c>
      <c r="AM6" s="610">
        <f t="shared" si="6"/>
        <v>1042</v>
      </c>
      <c r="AN6" s="611">
        <f t="shared" si="7"/>
        <v>0</v>
      </c>
      <c r="AO6" s="612">
        <f t="shared" si="8"/>
        <v>0</v>
      </c>
    </row>
    <row r="7" spans="1:41" x14ac:dyDescent="0.2">
      <c r="A7" s="502">
        <v>101</v>
      </c>
      <c r="B7" s="503">
        <v>0.375</v>
      </c>
      <c r="C7" s="504">
        <v>2013</v>
      </c>
      <c r="D7" s="504">
        <v>3</v>
      </c>
      <c r="E7" s="504">
        <v>5</v>
      </c>
      <c r="F7" s="505">
        <v>511162</v>
      </c>
      <c r="G7" s="504">
        <v>0</v>
      </c>
      <c r="H7" s="505">
        <v>96673</v>
      </c>
      <c r="I7" s="504">
        <v>0</v>
      </c>
      <c r="J7" s="504">
        <v>0</v>
      </c>
      <c r="K7" s="504">
        <v>0</v>
      </c>
      <c r="L7" s="506">
        <v>311.69740000000002</v>
      </c>
      <c r="M7" s="505">
        <v>7.7</v>
      </c>
      <c r="N7" s="507">
        <v>0</v>
      </c>
      <c r="O7" s="508">
        <v>1092</v>
      </c>
      <c r="P7" s="493">
        <f t="shared" si="0"/>
        <v>1092</v>
      </c>
      <c r="Q7" s="114">
        <v>5</v>
      </c>
      <c r="R7" s="509">
        <f t="shared" si="1"/>
        <v>8663.8025639004263</v>
      </c>
      <c r="S7" s="510">
        <f>'Balance de Energía'!AR15</f>
        <v>36273.608574538302</v>
      </c>
      <c r="T7" s="511">
        <f t="shared" si="9"/>
        <v>973.55149410549086</v>
      </c>
      <c r="U7" s="497"/>
      <c r="V7" s="511">
        <f t="shared" si="2"/>
        <v>1092</v>
      </c>
      <c r="W7" s="512">
        <f t="shared" si="10"/>
        <v>38563.619639999997</v>
      </c>
      <c r="X7" s="497"/>
      <c r="Y7" s="513">
        <f t="shared" si="11"/>
        <v>9.4608723997792659</v>
      </c>
      <c r="Z7" s="510">
        <f t="shared" si="12"/>
        <v>39.610780563395828</v>
      </c>
      <c r="AA7" s="511">
        <f t="shared" si="13"/>
        <v>37.543669518637849</v>
      </c>
      <c r="AE7" s="598" t="str">
        <f t="shared" si="3"/>
        <v>511162</v>
      </c>
      <c r="AF7" s="502">
        <v>101</v>
      </c>
      <c r="AG7" s="606">
        <v>5</v>
      </c>
      <c r="AH7" s="607">
        <v>511162</v>
      </c>
      <c r="AI7" s="608">
        <f t="shared" si="4"/>
        <v>511162</v>
      </c>
      <c r="AJ7" s="609">
        <f t="shared" si="5"/>
        <v>0</v>
      </c>
      <c r="AL7" s="602">
        <f t="shared" si="6"/>
        <v>1092</v>
      </c>
      <c r="AM7" s="610">
        <f t="shared" si="6"/>
        <v>1092</v>
      </c>
      <c r="AN7" s="611">
        <f t="shared" si="7"/>
        <v>0</v>
      </c>
      <c r="AO7" s="612">
        <f t="shared" si="8"/>
        <v>0</v>
      </c>
    </row>
    <row r="8" spans="1:41" x14ac:dyDescent="0.2">
      <c r="A8" s="502">
        <v>101</v>
      </c>
      <c r="B8" s="503">
        <v>0.375</v>
      </c>
      <c r="C8" s="504">
        <v>2013</v>
      </c>
      <c r="D8" s="504">
        <v>3</v>
      </c>
      <c r="E8" s="504">
        <v>6</v>
      </c>
      <c r="F8" s="505">
        <v>512254</v>
      </c>
      <c r="G8" s="504">
        <v>0</v>
      </c>
      <c r="H8" s="505">
        <v>96717</v>
      </c>
      <c r="I8" s="504">
        <v>0</v>
      </c>
      <c r="J8" s="504">
        <v>0</v>
      </c>
      <c r="K8" s="504">
        <v>0</v>
      </c>
      <c r="L8" s="506">
        <v>322.45060000000001</v>
      </c>
      <c r="M8" s="505">
        <v>8</v>
      </c>
      <c r="N8" s="507">
        <v>0</v>
      </c>
      <c r="O8" s="508">
        <v>1102</v>
      </c>
      <c r="P8" s="493">
        <f t="shared" si="0"/>
        <v>1102</v>
      </c>
      <c r="Q8" s="114">
        <v>6</v>
      </c>
      <c r="R8" s="509">
        <f t="shared" si="1"/>
        <v>8677.25052461823</v>
      </c>
      <c r="S8" s="510">
        <f>'Balance de Energía'!AR16</f>
        <v>36329.912496471603</v>
      </c>
      <c r="T8" s="511">
        <f t="shared" si="9"/>
        <v>975.06264145135049</v>
      </c>
      <c r="U8" s="497"/>
      <c r="V8" s="511">
        <f t="shared" si="2"/>
        <v>1102</v>
      </c>
      <c r="W8" s="512">
        <f t="shared" si="10"/>
        <v>38916.766340000002</v>
      </c>
      <c r="X8" s="497"/>
      <c r="Y8" s="513">
        <f t="shared" si="11"/>
        <v>9.562330078129289</v>
      </c>
      <c r="Z8" s="510">
        <f t="shared" si="12"/>
        <v>40.035563571111709</v>
      </c>
      <c r="AA8" s="511">
        <f t="shared" si="13"/>
        <v>37.946284984225407</v>
      </c>
      <c r="AE8" s="598" t="str">
        <f t="shared" si="3"/>
        <v>512254</v>
      </c>
      <c r="AF8" s="502">
        <v>101</v>
      </c>
      <c r="AG8" s="606">
        <v>6</v>
      </c>
      <c r="AH8" s="607">
        <v>512254</v>
      </c>
      <c r="AI8" s="608">
        <f t="shared" si="4"/>
        <v>512254</v>
      </c>
      <c r="AJ8" s="609">
        <f t="shared" si="5"/>
        <v>0</v>
      </c>
      <c r="AL8" s="602">
        <f t="shared" si="6"/>
        <v>1104</v>
      </c>
      <c r="AM8" s="610">
        <f t="shared" si="6"/>
        <v>1102</v>
      </c>
      <c r="AN8" s="611">
        <f t="shared" si="7"/>
        <v>-2</v>
      </c>
      <c r="AO8" s="612">
        <f t="shared" si="8"/>
        <v>-1.8148820326678765E-3</v>
      </c>
    </row>
    <row r="9" spans="1:41" x14ac:dyDescent="0.2">
      <c r="A9" s="502">
        <v>101</v>
      </c>
      <c r="B9" s="503">
        <v>0.375</v>
      </c>
      <c r="C9" s="504">
        <v>2013</v>
      </c>
      <c r="D9" s="504">
        <v>3</v>
      </c>
      <c r="E9" s="504">
        <v>7</v>
      </c>
      <c r="F9" s="505">
        <v>513356</v>
      </c>
      <c r="G9" s="504">
        <v>0</v>
      </c>
      <c r="H9" s="505">
        <v>96761</v>
      </c>
      <c r="I9" s="504">
        <v>0</v>
      </c>
      <c r="J9" s="504">
        <v>0</v>
      </c>
      <c r="K9" s="504">
        <v>0</v>
      </c>
      <c r="L9" s="506">
        <v>324.9871</v>
      </c>
      <c r="M9" s="505">
        <v>8.1</v>
      </c>
      <c r="N9" s="507">
        <v>0</v>
      </c>
      <c r="O9" s="508">
        <v>1095</v>
      </c>
      <c r="P9" s="493">
        <f t="shared" si="0"/>
        <v>1095</v>
      </c>
      <c r="Q9" s="114">
        <v>7</v>
      </c>
      <c r="R9" s="509">
        <f t="shared" si="1"/>
        <v>8684.2233492572141</v>
      </c>
      <c r="S9" s="510">
        <f>'Balance de Energía'!AR17</f>
        <v>36359.106318670099</v>
      </c>
      <c r="T9" s="511">
        <f t="shared" si="9"/>
        <v>975.84617775603317</v>
      </c>
      <c r="U9" s="497"/>
      <c r="V9" s="511">
        <f t="shared" si="2"/>
        <v>1095</v>
      </c>
      <c r="W9" s="512">
        <f t="shared" si="10"/>
        <v>38669.563649999996</v>
      </c>
      <c r="X9" s="497"/>
      <c r="Y9" s="513">
        <f t="shared" si="11"/>
        <v>9.5092245674366485</v>
      </c>
      <c r="Z9" s="510">
        <f t="shared" si="12"/>
        <v>39.813221418943755</v>
      </c>
      <c r="AA9" s="511">
        <f t="shared" si="13"/>
        <v>37.735545883346134</v>
      </c>
      <c r="AE9" s="598" t="str">
        <f t="shared" si="3"/>
        <v>513356</v>
      </c>
      <c r="AF9" s="502">
        <v>101</v>
      </c>
      <c r="AG9" s="606">
        <v>7</v>
      </c>
      <c r="AH9" s="607">
        <v>513358</v>
      </c>
      <c r="AI9" s="608">
        <f t="shared" si="4"/>
        <v>513356</v>
      </c>
      <c r="AJ9" s="609">
        <f t="shared" si="5"/>
        <v>-2</v>
      </c>
      <c r="AL9" s="602">
        <f t="shared" si="6"/>
        <v>1093</v>
      </c>
      <c r="AM9" s="610">
        <f t="shared" si="6"/>
        <v>1095</v>
      </c>
      <c r="AN9" s="611">
        <f t="shared" si="7"/>
        <v>2</v>
      </c>
      <c r="AO9" s="612">
        <f t="shared" si="8"/>
        <v>1.8264840182648401E-3</v>
      </c>
    </row>
    <row r="10" spans="1:41" x14ac:dyDescent="0.2">
      <c r="A10" s="502">
        <v>101</v>
      </c>
      <c r="B10" s="503">
        <v>0.375</v>
      </c>
      <c r="C10" s="504">
        <v>2013</v>
      </c>
      <c r="D10" s="504">
        <v>3</v>
      </c>
      <c r="E10" s="504">
        <v>8</v>
      </c>
      <c r="F10" s="505">
        <v>514451</v>
      </c>
      <c r="G10" s="504">
        <v>0</v>
      </c>
      <c r="H10" s="505">
        <v>96805</v>
      </c>
      <c r="I10" s="504">
        <v>0</v>
      </c>
      <c r="J10" s="504">
        <v>0</v>
      </c>
      <c r="K10" s="504">
        <v>0</v>
      </c>
      <c r="L10" s="506">
        <v>324.19729999999998</v>
      </c>
      <c r="M10" s="505">
        <v>9.3000000000000007</v>
      </c>
      <c r="N10" s="507">
        <v>0</v>
      </c>
      <c r="O10" s="508">
        <v>993</v>
      </c>
      <c r="P10" s="493">
        <f t="shared" si="0"/>
        <v>993</v>
      </c>
      <c r="Q10" s="114">
        <v>8</v>
      </c>
      <c r="R10" s="509">
        <f t="shared" si="1"/>
        <v>8680.4076385966127</v>
      </c>
      <c r="S10" s="510">
        <f>'Balance de Energía'!AR18</f>
        <v>36343.130701276299</v>
      </c>
      <c r="T10" s="511">
        <f t="shared" si="9"/>
        <v>975.41740634910138</v>
      </c>
      <c r="U10" s="497"/>
      <c r="V10" s="511">
        <f t="shared" si="2"/>
        <v>993</v>
      </c>
      <c r="W10" s="512">
        <f t="shared" si="10"/>
        <v>35067.46731</v>
      </c>
      <c r="X10" s="497"/>
      <c r="Y10" s="513">
        <f t="shared" si="11"/>
        <v>8.6196447851264359</v>
      </c>
      <c r="Z10" s="510">
        <f t="shared" si="12"/>
        <v>36.088728786367362</v>
      </c>
      <c r="AA10" s="511">
        <f t="shared" si="13"/>
        <v>34.205418010752098</v>
      </c>
      <c r="AE10" s="598" t="str">
        <f t="shared" si="3"/>
        <v>514451</v>
      </c>
      <c r="AF10" s="502">
        <v>101</v>
      </c>
      <c r="AG10" s="606">
        <v>8</v>
      </c>
      <c r="AH10" s="607">
        <v>514451</v>
      </c>
      <c r="AI10" s="608">
        <f t="shared" si="4"/>
        <v>514451</v>
      </c>
      <c r="AJ10" s="609">
        <f t="shared" si="5"/>
        <v>0</v>
      </c>
      <c r="AL10" s="602">
        <f t="shared" si="6"/>
        <v>993</v>
      </c>
      <c r="AM10" s="610">
        <f t="shared" si="6"/>
        <v>993</v>
      </c>
      <c r="AN10" s="611">
        <f t="shared" si="7"/>
        <v>0</v>
      </c>
      <c r="AO10" s="612">
        <f t="shared" si="8"/>
        <v>0</v>
      </c>
    </row>
    <row r="11" spans="1:41" x14ac:dyDescent="0.2">
      <c r="A11" s="502">
        <v>101</v>
      </c>
      <c r="B11" s="503">
        <v>0.375</v>
      </c>
      <c r="C11" s="504">
        <v>2013</v>
      </c>
      <c r="D11" s="504">
        <v>3</v>
      </c>
      <c r="E11" s="504">
        <v>9</v>
      </c>
      <c r="F11" s="505">
        <v>515444</v>
      </c>
      <c r="G11" s="504">
        <v>0</v>
      </c>
      <c r="H11" s="505">
        <v>96845</v>
      </c>
      <c r="I11" s="504">
        <v>0</v>
      </c>
      <c r="J11" s="504">
        <v>0</v>
      </c>
      <c r="K11" s="504">
        <v>0</v>
      </c>
      <c r="L11" s="506">
        <v>323.98349999999999</v>
      </c>
      <c r="M11" s="505">
        <v>10.4</v>
      </c>
      <c r="N11" s="507">
        <v>0</v>
      </c>
      <c r="O11" s="508">
        <v>1067</v>
      </c>
      <c r="P11" s="493">
        <f t="shared" si="0"/>
        <v>1067</v>
      </c>
      <c r="Q11" s="114">
        <v>9</v>
      </c>
      <c r="R11" s="554">
        <f t="shared" si="1"/>
        <v>8686.5977880595201</v>
      </c>
      <c r="S11" s="510">
        <f>'Balance de Energía'!AR19</f>
        <v>36369.047619047597</v>
      </c>
      <c r="T11" s="511">
        <f t="shared" si="9"/>
        <v>976.11299344424822</v>
      </c>
      <c r="V11" s="514">
        <f t="shared" si="2"/>
        <v>1067</v>
      </c>
      <c r="W11" s="515">
        <f t="shared" si="10"/>
        <v>37680.752889999996</v>
      </c>
      <c r="Y11" s="513">
        <f t="shared" si="11"/>
        <v>9.2685998398595082</v>
      </c>
      <c r="Z11" s="510">
        <f t="shared" si="12"/>
        <v>38.805773809523785</v>
      </c>
      <c r="AA11" s="511">
        <f t="shared" si="13"/>
        <v>36.780672498690905</v>
      </c>
      <c r="AE11" s="598" t="str">
        <f t="shared" si="3"/>
        <v>515444</v>
      </c>
      <c r="AF11" s="502">
        <v>101</v>
      </c>
      <c r="AG11" s="606">
        <v>9</v>
      </c>
      <c r="AH11" s="607">
        <v>515444</v>
      </c>
      <c r="AI11" s="608">
        <f t="shared" si="4"/>
        <v>515444</v>
      </c>
      <c r="AJ11" s="609">
        <f t="shared" si="5"/>
        <v>0</v>
      </c>
      <c r="AL11" s="602">
        <f t="shared" si="6"/>
        <v>1067</v>
      </c>
      <c r="AM11" s="610">
        <f t="shared" si="6"/>
        <v>1067</v>
      </c>
      <c r="AN11" s="611">
        <f t="shared" si="7"/>
        <v>0</v>
      </c>
      <c r="AO11" s="612">
        <f t="shared" si="8"/>
        <v>0</v>
      </c>
    </row>
    <row r="12" spans="1:41" x14ac:dyDescent="0.2">
      <c r="A12" s="502">
        <v>101</v>
      </c>
      <c r="B12" s="503">
        <v>0.375</v>
      </c>
      <c r="C12" s="504">
        <v>2013</v>
      </c>
      <c r="D12" s="504">
        <v>3</v>
      </c>
      <c r="E12" s="504">
        <v>10</v>
      </c>
      <c r="F12" s="505">
        <v>516511</v>
      </c>
      <c r="G12" s="504">
        <v>0</v>
      </c>
      <c r="H12" s="505">
        <v>96888</v>
      </c>
      <c r="I12" s="504">
        <v>0</v>
      </c>
      <c r="J12" s="504">
        <v>0</v>
      </c>
      <c r="K12" s="504">
        <v>0</v>
      </c>
      <c r="L12" s="506">
        <v>328.01909999999998</v>
      </c>
      <c r="M12" s="505">
        <v>10.4</v>
      </c>
      <c r="N12" s="507">
        <v>0</v>
      </c>
      <c r="O12" s="508">
        <v>1050</v>
      </c>
      <c r="P12" s="493">
        <f t="shared" si="0"/>
        <v>1050</v>
      </c>
      <c r="Q12" s="114">
        <v>10</v>
      </c>
      <c r="R12" s="554">
        <f t="shared" si="1"/>
        <v>8698.8946381867772</v>
      </c>
      <c r="S12" s="510">
        <f>'Balance de Energía'!AR20</f>
        <v>36420.5320711604</v>
      </c>
      <c r="T12" s="511">
        <f t="shared" si="9"/>
        <v>977.49479049304819</v>
      </c>
      <c r="V12" s="514">
        <f t="shared" si="2"/>
        <v>1050</v>
      </c>
      <c r="W12" s="515">
        <f t="shared" si="10"/>
        <v>37080.4035</v>
      </c>
      <c r="Y12" s="513">
        <f t="shared" si="11"/>
        <v>9.1338393700961156</v>
      </c>
      <c r="Z12" s="510">
        <f t="shared" si="12"/>
        <v>38.241558674718419</v>
      </c>
      <c r="AA12" s="511">
        <f t="shared" si="13"/>
        <v>36.24590125063019</v>
      </c>
      <c r="AE12" s="598" t="str">
        <f t="shared" si="3"/>
        <v>516511</v>
      </c>
      <c r="AF12" s="502">
        <v>101</v>
      </c>
      <c r="AG12" s="606">
        <v>10</v>
      </c>
      <c r="AH12" s="607">
        <v>516511</v>
      </c>
      <c r="AI12" s="608">
        <f t="shared" si="4"/>
        <v>516511</v>
      </c>
      <c r="AJ12" s="609">
        <f t="shared" si="5"/>
        <v>0</v>
      </c>
      <c r="AL12" s="602">
        <f t="shared" si="6"/>
        <v>1052</v>
      </c>
      <c r="AM12" s="610">
        <f t="shared" si="6"/>
        <v>1050</v>
      </c>
      <c r="AN12" s="611">
        <f t="shared" si="7"/>
        <v>-2</v>
      </c>
      <c r="AO12" s="612">
        <f t="shared" si="8"/>
        <v>-1.9047619047619048E-3</v>
      </c>
    </row>
    <row r="13" spans="1:41" x14ac:dyDescent="0.2">
      <c r="A13" s="502">
        <v>101</v>
      </c>
      <c r="B13" s="503">
        <v>0.375</v>
      </c>
      <c r="C13" s="504">
        <v>2013</v>
      </c>
      <c r="D13" s="504">
        <v>3</v>
      </c>
      <c r="E13" s="504">
        <v>11</v>
      </c>
      <c r="F13" s="505">
        <v>517561</v>
      </c>
      <c r="G13" s="504">
        <v>0</v>
      </c>
      <c r="H13" s="505">
        <v>96930</v>
      </c>
      <c r="I13" s="504">
        <v>0</v>
      </c>
      <c r="J13" s="504">
        <v>0</v>
      </c>
      <c r="K13" s="504">
        <v>0</v>
      </c>
      <c r="L13" s="506">
        <v>327.2835</v>
      </c>
      <c r="M13" s="505">
        <v>10.7</v>
      </c>
      <c r="N13" s="507">
        <v>0</v>
      </c>
      <c r="O13" s="508">
        <v>1037</v>
      </c>
      <c r="P13" s="493">
        <f t="shared" si="0"/>
        <v>1037</v>
      </c>
      <c r="Q13" s="114">
        <v>11</v>
      </c>
      <c r="R13" s="554">
        <f t="shared" si="1"/>
        <v>8683.8294038177846</v>
      </c>
      <c r="S13" s="510">
        <f>'Balance de Energía'!AR21</f>
        <v>36357.456947904298</v>
      </c>
      <c r="T13" s="511">
        <f t="shared" si="9"/>
        <v>975.80191010700446</v>
      </c>
      <c r="V13" s="514">
        <f t="shared" si="2"/>
        <v>1037</v>
      </c>
      <c r="W13" s="515">
        <f t="shared" si="10"/>
        <v>36621.312789999996</v>
      </c>
      <c r="Y13" s="513">
        <f t="shared" si="11"/>
        <v>9.0051310917590435</v>
      </c>
      <c r="Z13" s="510">
        <f t="shared" si="12"/>
        <v>37.702682854976757</v>
      </c>
      <c r="AA13" s="511">
        <f t="shared" si="13"/>
        <v>35.735146971108072</v>
      </c>
      <c r="AE13" s="598" t="str">
        <f t="shared" si="3"/>
        <v>517561</v>
      </c>
      <c r="AF13" s="502">
        <v>101</v>
      </c>
      <c r="AG13" s="606">
        <v>11</v>
      </c>
      <c r="AH13" s="607">
        <v>517563</v>
      </c>
      <c r="AI13" s="608">
        <f t="shared" si="4"/>
        <v>517561</v>
      </c>
      <c r="AJ13" s="609">
        <f t="shared" si="5"/>
        <v>-2</v>
      </c>
      <c r="AL13" s="602">
        <f t="shared" si="6"/>
        <v>1038</v>
      </c>
      <c r="AM13" s="610">
        <f t="shared" si="6"/>
        <v>1037</v>
      </c>
      <c r="AN13" s="611">
        <f t="shared" si="7"/>
        <v>-1</v>
      </c>
      <c r="AO13" s="612">
        <f t="shared" si="8"/>
        <v>-9.6432015429122472E-4</v>
      </c>
    </row>
    <row r="14" spans="1:41" x14ac:dyDescent="0.2">
      <c r="A14" s="502">
        <v>101</v>
      </c>
      <c r="B14" s="503">
        <v>0.375</v>
      </c>
      <c r="C14" s="504">
        <v>2013</v>
      </c>
      <c r="D14" s="504">
        <v>3</v>
      </c>
      <c r="E14" s="504">
        <v>12</v>
      </c>
      <c r="F14" s="505">
        <v>518598</v>
      </c>
      <c r="G14" s="504">
        <v>0</v>
      </c>
      <c r="H14" s="505">
        <v>96971</v>
      </c>
      <c r="I14" s="504">
        <v>0</v>
      </c>
      <c r="J14" s="504">
        <v>0</v>
      </c>
      <c r="K14" s="504">
        <v>0</v>
      </c>
      <c r="L14" s="506">
        <v>323.6173</v>
      </c>
      <c r="M14" s="505">
        <v>10.3</v>
      </c>
      <c r="N14" s="507">
        <v>0</v>
      </c>
      <c r="O14" s="508">
        <v>1003</v>
      </c>
      <c r="P14" s="493">
        <f t="shared" si="0"/>
        <v>1003</v>
      </c>
      <c r="Q14" s="114">
        <v>12</v>
      </c>
      <c r="R14" s="554">
        <f t="shared" si="1"/>
        <v>8687.5618569831622</v>
      </c>
      <c r="S14" s="510">
        <f>'Balance de Energía'!AR22</f>
        <v>36373.083982817101</v>
      </c>
      <c r="T14" s="511">
        <f t="shared" si="9"/>
        <v>976.22132586919793</v>
      </c>
      <c r="V14" s="514">
        <f t="shared" si="2"/>
        <v>1003</v>
      </c>
      <c r="W14" s="515">
        <f t="shared" si="10"/>
        <v>35420.614009999998</v>
      </c>
      <c r="Y14" s="513">
        <f t="shared" si="11"/>
        <v>8.713624542554113</v>
      </c>
      <c r="Z14" s="510">
        <f t="shared" si="12"/>
        <v>36.482203234765549</v>
      </c>
      <c r="AA14" s="511">
        <f t="shared" si="13"/>
        <v>34.578358771943286</v>
      </c>
      <c r="AE14" s="598" t="str">
        <f t="shared" si="3"/>
        <v>518598</v>
      </c>
      <c r="AF14" s="502">
        <v>101</v>
      </c>
      <c r="AG14" s="606">
        <v>12</v>
      </c>
      <c r="AH14" s="607">
        <v>518601</v>
      </c>
      <c r="AI14" s="608">
        <f t="shared" si="4"/>
        <v>518598</v>
      </c>
      <c r="AJ14" s="609">
        <f t="shared" si="5"/>
        <v>-3</v>
      </c>
      <c r="AL14" s="602">
        <f t="shared" si="6"/>
        <v>1003</v>
      </c>
      <c r="AM14" s="610">
        <f t="shared" si="6"/>
        <v>1003</v>
      </c>
      <c r="AN14" s="611">
        <f t="shared" si="7"/>
        <v>0</v>
      </c>
      <c r="AO14" s="612">
        <f t="shared" si="8"/>
        <v>0</v>
      </c>
    </row>
    <row r="15" spans="1:41" x14ac:dyDescent="0.2">
      <c r="A15" s="502">
        <v>101</v>
      </c>
      <c r="B15" s="503">
        <v>0.375</v>
      </c>
      <c r="C15" s="504">
        <v>2013</v>
      </c>
      <c r="D15" s="504">
        <v>3</v>
      </c>
      <c r="E15" s="504">
        <v>13</v>
      </c>
      <c r="F15" s="505">
        <v>519601</v>
      </c>
      <c r="G15" s="504">
        <v>0</v>
      </c>
      <c r="H15" s="505">
        <v>97012</v>
      </c>
      <c r="I15" s="504">
        <v>0</v>
      </c>
      <c r="J15" s="504">
        <v>0</v>
      </c>
      <c r="K15" s="504">
        <v>0</v>
      </c>
      <c r="L15" s="506">
        <v>321.92250000000001</v>
      </c>
      <c r="M15" s="505">
        <v>10.199999999999999</v>
      </c>
      <c r="N15" s="507">
        <v>0</v>
      </c>
      <c r="O15" s="508">
        <v>1086</v>
      </c>
      <c r="P15" s="493">
        <f t="shared" si="0"/>
        <v>1086</v>
      </c>
      <c r="Q15" s="114">
        <v>13</v>
      </c>
      <c r="R15" s="554">
        <f t="shared" si="1"/>
        <v>8666.9378806721361</v>
      </c>
      <c r="S15" s="510">
        <f>'Balance de Energía'!AR23</f>
        <v>36286.735518798101</v>
      </c>
      <c r="T15" s="511">
        <f t="shared" si="9"/>
        <v>973.90380965112786</v>
      </c>
      <c r="V15" s="514">
        <f t="shared" si="2"/>
        <v>1086</v>
      </c>
      <c r="W15" s="515">
        <f t="shared" si="10"/>
        <v>38351.731619999999</v>
      </c>
      <c r="Y15" s="513">
        <f t="shared" si="11"/>
        <v>9.4122945384099399</v>
      </c>
      <c r="Z15" s="510">
        <f t="shared" si="12"/>
        <v>39.407394773414737</v>
      </c>
      <c r="AA15" s="511">
        <f t="shared" si="13"/>
        <v>37.350897531435621</v>
      </c>
      <c r="AE15" s="598" t="str">
        <f t="shared" si="3"/>
        <v>519601</v>
      </c>
      <c r="AF15" s="502">
        <v>101</v>
      </c>
      <c r="AG15" s="606">
        <v>13</v>
      </c>
      <c r="AH15" s="607">
        <v>519604</v>
      </c>
      <c r="AI15" s="608">
        <f t="shared" si="4"/>
        <v>519601</v>
      </c>
      <c r="AJ15" s="609">
        <f t="shared" si="5"/>
        <v>-3</v>
      </c>
      <c r="AL15" s="602">
        <f t="shared" si="6"/>
        <v>1086</v>
      </c>
      <c r="AM15" s="610">
        <f t="shared" si="6"/>
        <v>1086</v>
      </c>
      <c r="AN15" s="611">
        <f t="shared" si="7"/>
        <v>0</v>
      </c>
      <c r="AO15" s="612">
        <f t="shared" si="8"/>
        <v>0</v>
      </c>
    </row>
    <row r="16" spans="1:41" x14ac:dyDescent="0.2">
      <c r="A16" s="502">
        <v>101</v>
      </c>
      <c r="B16" s="503">
        <v>0.375</v>
      </c>
      <c r="C16" s="504">
        <v>2013</v>
      </c>
      <c r="D16" s="504">
        <v>3</v>
      </c>
      <c r="E16" s="504">
        <v>14</v>
      </c>
      <c r="F16" s="505">
        <v>520687</v>
      </c>
      <c r="G16" s="504">
        <v>0</v>
      </c>
      <c r="H16" s="505">
        <v>97056</v>
      </c>
      <c r="I16" s="504">
        <v>0</v>
      </c>
      <c r="J16" s="504">
        <v>0</v>
      </c>
      <c r="K16" s="504">
        <v>0</v>
      </c>
      <c r="L16" s="506">
        <v>321.18779999999998</v>
      </c>
      <c r="M16" s="505">
        <v>8.5</v>
      </c>
      <c r="N16" s="507">
        <v>0</v>
      </c>
      <c r="O16" s="508">
        <v>1174</v>
      </c>
      <c r="P16" s="493">
        <f t="shared" si="0"/>
        <v>1174</v>
      </c>
      <c r="Q16" s="114">
        <v>14</v>
      </c>
      <c r="R16" s="554">
        <f t="shared" si="1"/>
        <v>8644.4947248490262</v>
      </c>
      <c r="S16" s="510">
        <f>'Balance de Energía'!AR24</f>
        <v>36192.770513997901</v>
      </c>
      <c r="T16" s="511">
        <f t="shared" si="9"/>
        <v>971.381872231285</v>
      </c>
      <c r="V16" s="514">
        <f t="shared" si="2"/>
        <v>1174</v>
      </c>
      <c r="W16" s="515">
        <f t="shared" si="10"/>
        <v>41459.422579999999</v>
      </c>
      <c r="Y16" s="513">
        <f t="shared" si="11"/>
        <v>10.148636806972757</v>
      </c>
      <c r="Z16" s="510">
        <f t="shared" si="12"/>
        <v>42.490312583433536</v>
      </c>
      <c r="AA16" s="511">
        <f t="shared" si="13"/>
        <v>40.272931527388408</v>
      </c>
      <c r="AE16" s="598" t="str">
        <f t="shared" si="3"/>
        <v>520687</v>
      </c>
      <c r="AF16" s="502">
        <v>101</v>
      </c>
      <c r="AG16" s="606">
        <v>14</v>
      </c>
      <c r="AH16" s="607">
        <v>520690</v>
      </c>
      <c r="AI16" s="608">
        <f t="shared" si="4"/>
        <v>520687</v>
      </c>
      <c r="AJ16" s="609">
        <f t="shared" si="5"/>
        <v>-3</v>
      </c>
      <c r="AL16" s="602">
        <f t="shared" si="6"/>
        <v>1174</v>
      </c>
      <c r="AM16" s="610">
        <f t="shared" si="6"/>
        <v>1174</v>
      </c>
      <c r="AN16" s="611">
        <f t="shared" si="7"/>
        <v>0</v>
      </c>
      <c r="AO16" s="612">
        <f t="shared" si="8"/>
        <v>0</v>
      </c>
    </row>
    <row r="17" spans="1:41" x14ac:dyDescent="0.2">
      <c r="A17" s="502">
        <v>101</v>
      </c>
      <c r="B17" s="503">
        <v>0.375</v>
      </c>
      <c r="C17" s="504">
        <v>2013</v>
      </c>
      <c r="D17" s="504">
        <v>3</v>
      </c>
      <c r="E17" s="504">
        <v>15</v>
      </c>
      <c r="F17" s="505">
        <v>521861</v>
      </c>
      <c r="G17" s="504">
        <v>0</v>
      </c>
      <c r="H17" s="505">
        <v>97103</v>
      </c>
      <c r="I17" s="504">
        <v>0</v>
      </c>
      <c r="J17" s="504">
        <v>0</v>
      </c>
      <c r="K17" s="504">
        <v>0</v>
      </c>
      <c r="L17" s="506">
        <v>321.84460000000001</v>
      </c>
      <c r="M17" s="505">
        <v>8.1999999999999993</v>
      </c>
      <c r="N17" s="507">
        <v>0</v>
      </c>
      <c r="O17" s="508">
        <v>1192</v>
      </c>
      <c r="P17" s="493">
        <f t="shared" si="0"/>
        <v>1192</v>
      </c>
      <c r="Q17" s="114">
        <v>15</v>
      </c>
      <c r="R17" s="554">
        <f t="shared" si="1"/>
        <v>8752.8834079594671</v>
      </c>
      <c r="S17" s="510">
        <f>'Balance de Energía'!AR25</f>
        <v>36646.572252444697</v>
      </c>
      <c r="T17" s="511">
        <f t="shared" si="9"/>
        <v>983.56150855240526</v>
      </c>
      <c r="V17" s="514">
        <f t="shared" si="2"/>
        <v>1192</v>
      </c>
      <c r="W17" s="515">
        <f t="shared" si="10"/>
        <v>42095.086640000001</v>
      </c>
      <c r="Y17" s="513">
        <f t="shared" si="11"/>
        <v>10.433437022287686</v>
      </c>
      <c r="Z17" s="510">
        <f t="shared" si="12"/>
        <v>43.682714124914078</v>
      </c>
      <c r="AA17" s="511">
        <f t="shared" si="13"/>
        <v>41.403106918282596</v>
      </c>
      <c r="AE17" s="598" t="str">
        <f t="shared" si="3"/>
        <v>521861</v>
      </c>
      <c r="AF17" s="502">
        <v>101</v>
      </c>
      <c r="AG17" s="606">
        <v>15</v>
      </c>
      <c r="AH17" s="607">
        <v>521864</v>
      </c>
      <c r="AI17" s="608">
        <f t="shared" si="4"/>
        <v>521861</v>
      </c>
      <c r="AJ17" s="609">
        <f t="shared" si="5"/>
        <v>-3</v>
      </c>
      <c r="AL17" s="602">
        <f t="shared" si="6"/>
        <v>-521864</v>
      </c>
      <c r="AM17" s="610">
        <f t="shared" si="6"/>
        <v>1192</v>
      </c>
      <c r="AN17" s="611">
        <f t="shared" si="7"/>
        <v>523056</v>
      </c>
      <c r="AO17" s="612">
        <f t="shared" si="8"/>
        <v>438.80536912751677</v>
      </c>
    </row>
    <row r="18" spans="1:41" x14ac:dyDescent="0.2">
      <c r="A18" s="502">
        <v>101</v>
      </c>
      <c r="B18" s="503">
        <v>0.375</v>
      </c>
      <c r="C18" s="504">
        <v>2013</v>
      </c>
      <c r="D18" s="504">
        <v>3</v>
      </c>
      <c r="E18" s="504">
        <v>16</v>
      </c>
      <c r="F18" s="505">
        <v>523053</v>
      </c>
      <c r="G18" s="504">
        <v>0</v>
      </c>
      <c r="H18" s="505">
        <v>97151</v>
      </c>
      <c r="I18" s="504">
        <v>0</v>
      </c>
      <c r="J18" s="504">
        <v>0</v>
      </c>
      <c r="K18" s="504">
        <v>0</v>
      </c>
      <c r="L18" s="506">
        <v>321.50049999999999</v>
      </c>
      <c r="M18" s="505">
        <v>7.8</v>
      </c>
      <c r="N18" s="507">
        <v>0</v>
      </c>
      <c r="O18" s="508">
        <v>1146</v>
      </c>
      <c r="P18" s="493">
        <f t="shared" si="0"/>
        <v>1146</v>
      </c>
      <c r="Q18" s="114">
        <v>16</v>
      </c>
      <c r="R18" s="554">
        <f t="shared" si="1"/>
        <v>8752.8834079594671</v>
      </c>
      <c r="S18" s="510">
        <f>'Balance de Energía'!AR26</f>
        <v>36646.572252444697</v>
      </c>
      <c r="T18" s="511">
        <f t="shared" si="9"/>
        <v>983.56150855240526</v>
      </c>
      <c r="V18" s="514">
        <f t="shared" si="2"/>
        <v>1146</v>
      </c>
      <c r="W18" s="515">
        <f t="shared" si="10"/>
        <v>40470.611819999998</v>
      </c>
      <c r="Y18" s="513">
        <f t="shared" si="11"/>
        <v>10.030804385521551</v>
      </c>
      <c r="Z18" s="510">
        <f t="shared" si="12"/>
        <v>41.996971801301619</v>
      </c>
      <c r="AA18" s="511">
        <f t="shared" si="13"/>
        <v>39.805336013718005</v>
      </c>
      <c r="AE18" s="598" t="str">
        <f t="shared" si="3"/>
        <v>523053</v>
      </c>
      <c r="AF18" s="502"/>
      <c r="AG18" s="606"/>
      <c r="AH18" s="607"/>
      <c r="AI18" s="608">
        <f t="shared" si="4"/>
        <v>523053</v>
      </c>
      <c r="AJ18" s="609">
        <f t="shared" si="5"/>
        <v>523053</v>
      </c>
      <c r="AL18" s="602">
        <f t="shared" si="6"/>
        <v>524201</v>
      </c>
      <c r="AM18" s="610">
        <f t="shared" si="6"/>
        <v>1146</v>
      </c>
      <c r="AN18" s="611">
        <f t="shared" si="7"/>
        <v>-523055</v>
      </c>
      <c r="AO18" s="612">
        <f t="shared" si="8"/>
        <v>-456.41797556719024</v>
      </c>
    </row>
    <row r="19" spans="1:41" x14ac:dyDescent="0.2">
      <c r="A19" s="502">
        <v>101</v>
      </c>
      <c r="B19" s="503">
        <v>0.375</v>
      </c>
      <c r="C19" s="504">
        <v>2013</v>
      </c>
      <c r="D19" s="504">
        <v>3</v>
      </c>
      <c r="E19" s="504">
        <v>17</v>
      </c>
      <c r="F19" s="505">
        <v>524199</v>
      </c>
      <c r="G19" s="504">
        <v>0</v>
      </c>
      <c r="H19" s="505">
        <v>97197</v>
      </c>
      <c r="I19" s="504">
        <v>0</v>
      </c>
      <c r="J19" s="504">
        <v>0</v>
      </c>
      <c r="K19" s="504">
        <v>0</v>
      </c>
      <c r="L19" s="506">
        <v>327.48939999999999</v>
      </c>
      <c r="M19" s="505">
        <v>7.7</v>
      </c>
      <c r="N19" s="507">
        <v>0</v>
      </c>
      <c r="O19" s="508">
        <v>1081</v>
      </c>
      <c r="P19" s="493">
        <f t="shared" si="0"/>
        <v>1081</v>
      </c>
      <c r="Q19" s="114">
        <v>17</v>
      </c>
      <c r="R19" s="554">
        <f t="shared" si="1"/>
        <v>8752.8834079594671</v>
      </c>
      <c r="S19" s="510">
        <f>'Balance de Energía'!AR27</f>
        <v>36646.572252444697</v>
      </c>
      <c r="T19" s="511">
        <f t="shared" si="9"/>
        <v>983.56150855240526</v>
      </c>
      <c r="V19" s="514">
        <f t="shared" si="2"/>
        <v>1081</v>
      </c>
      <c r="W19" s="515">
        <f t="shared" si="10"/>
        <v>38175.15827</v>
      </c>
      <c r="Y19" s="513">
        <f t="shared" si="11"/>
        <v>9.4618669640041837</v>
      </c>
      <c r="Z19" s="510">
        <f t="shared" si="12"/>
        <v>39.614944604892713</v>
      </c>
      <c r="AA19" s="511">
        <f t="shared" si="13"/>
        <v>37.547616257268025</v>
      </c>
      <c r="AE19" s="598" t="str">
        <f t="shared" si="3"/>
        <v>524199</v>
      </c>
      <c r="AF19" s="502">
        <v>101</v>
      </c>
      <c r="AG19" s="606">
        <v>17</v>
      </c>
      <c r="AH19" s="607">
        <v>524201</v>
      </c>
      <c r="AI19" s="608">
        <f t="shared" si="4"/>
        <v>524199</v>
      </c>
      <c r="AJ19" s="609">
        <f t="shared" si="5"/>
        <v>-2</v>
      </c>
      <c r="AL19" s="602">
        <f t="shared" si="6"/>
        <v>-524201</v>
      </c>
      <c r="AM19" s="610">
        <f t="shared" si="6"/>
        <v>1081</v>
      </c>
      <c r="AN19" s="611">
        <f t="shared" si="7"/>
        <v>525282</v>
      </c>
      <c r="AO19" s="612">
        <f t="shared" si="8"/>
        <v>485.92229417206289</v>
      </c>
    </row>
    <row r="20" spans="1:41" x14ac:dyDescent="0.2">
      <c r="A20" s="502">
        <v>101</v>
      </c>
      <c r="B20" s="503">
        <v>0.375</v>
      </c>
      <c r="C20" s="504">
        <v>2013</v>
      </c>
      <c r="D20" s="504">
        <v>3</v>
      </c>
      <c r="E20" s="504">
        <v>18</v>
      </c>
      <c r="F20" s="505">
        <v>525280</v>
      </c>
      <c r="G20" s="504">
        <v>0</v>
      </c>
      <c r="H20" s="505">
        <v>97239</v>
      </c>
      <c r="I20" s="504">
        <v>0</v>
      </c>
      <c r="J20" s="504">
        <v>0</v>
      </c>
      <c r="K20" s="504">
        <v>0</v>
      </c>
      <c r="L20" s="506">
        <v>327.9153</v>
      </c>
      <c r="M20" s="505">
        <v>9.1999999999999993</v>
      </c>
      <c r="N20" s="507">
        <v>0</v>
      </c>
      <c r="O20" s="508">
        <v>846</v>
      </c>
      <c r="P20" s="493">
        <f t="shared" si="0"/>
        <v>846</v>
      </c>
      <c r="Q20" s="114">
        <v>18</v>
      </c>
      <c r="R20" s="554">
        <f t="shared" si="1"/>
        <v>8752.8834079594671</v>
      </c>
      <c r="S20" s="510">
        <f>'Balance de Energía'!AR28</f>
        <v>36646.572252444697</v>
      </c>
      <c r="T20" s="511">
        <f t="shared" si="9"/>
        <v>983.56150855240526</v>
      </c>
      <c r="V20" s="514">
        <f t="shared" si="2"/>
        <v>846</v>
      </c>
      <c r="W20" s="515">
        <f t="shared" si="10"/>
        <v>29876.21082</v>
      </c>
      <c r="Y20" s="513">
        <f t="shared" si="11"/>
        <v>7.4049393631337086</v>
      </c>
      <c r="Z20" s="510">
        <f t="shared" si="12"/>
        <v>31.003000125568214</v>
      </c>
      <c r="AA20" s="511">
        <f t="shared" si="13"/>
        <v>29.385090983948892</v>
      </c>
      <c r="AE20" s="598" t="str">
        <f t="shared" si="3"/>
        <v>525280</v>
      </c>
      <c r="AF20" s="502"/>
      <c r="AG20" s="606"/>
      <c r="AH20" s="607"/>
      <c r="AI20" s="608">
        <f t="shared" si="4"/>
        <v>525280</v>
      </c>
      <c r="AJ20" s="609">
        <f t="shared" si="5"/>
        <v>525280</v>
      </c>
      <c r="AL20" s="602">
        <f t="shared" si="6"/>
        <v>526126</v>
      </c>
      <c r="AM20" s="610">
        <f t="shared" si="6"/>
        <v>846</v>
      </c>
      <c r="AN20" s="611">
        <f t="shared" si="7"/>
        <v>-525280</v>
      </c>
      <c r="AO20" s="612">
        <f t="shared" si="8"/>
        <v>-620.89834515366431</v>
      </c>
    </row>
    <row r="21" spans="1:41" x14ac:dyDescent="0.2">
      <c r="A21" s="502">
        <v>101</v>
      </c>
      <c r="B21" s="503">
        <v>0.375</v>
      </c>
      <c r="C21" s="504">
        <v>2013</v>
      </c>
      <c r="D21" s="504">
        <v>3</v>
      </c>
      <c r="E21" s="504">
        <v>19</v>
      </c>
      <c r="F21" s="505">
        <v>526126</v>
      </c>
      <c r="G21" s="504">
        <v>0</v>
      </c>
      <c r="H21" s="505">
        <v>97273</v>
      </c>
      <c r="I21" s="504">
        <v>0</v>
      </c>
      <c r="J21" s="504">
        <v>0</v>
      </c>
      <c r="K21" s="504">
        <v>0</v>
      </c>
      <c r="L21" s="506">
        <v>327.05489999999998</v>
      </c>
      <c r="M21" s="505">
        <v>10.3</v>
      </c>
      <c r="N21" s="507">
        <v>0</v>
      </c>
      <c r="O21" s="508">
        <v>876</v>
      </c>
      <c r="P21" s="493">
        <f t="shared" si="0"/>
        <v>876</v>
      </c>
      <c r="Q21" s="114">
        <v>19</v>
      </c>
      <c r="R21" s="554">
        <f t="shared" si="1"/>
        <v>8752.8834079594671</v>
      </c>
      <c r="S21" s="510">
        <f>'Balance de Energía'!AR29</f>
        <v>36646.572252444697</v>
      </c>
      <c r="T21" s="511">
        <f t="shared" si="9"/>
        <v>983.56150855240526</v>
      </c>
      <c r="V21" s="514">
        <f t="shared" si="2"/>
        <v>876</v>
      </c>
      <c r="W21" s="515">
        <f t="shared" si="10"/>
        <v>30935.65092</v>
      </c>
      <c r="Y21" s="513">
        <f t="shared" si="11"/>
        <v>7.6675258653724931</v>
      </c>
      <c r="Z21" s="510">
        <f t="shared" si="12"/>
        <v>32.102397293141557</v>
      </c>
      <c r="AA21" s="511">
        <f t="shared" si="13"/>
        <v>30.427115486925803</v>
      </c>
      <c r="AE21" s="598" t="str">
        <f t="shared" si="3"/>
        <v>526126</v>
      </c>
      <c r="AF21" s="502">
        <v>101</v>
      </c>
      <c r="AG21" s="606">
        <v>19</v>
      </c>
      <c r="AH21" s="607">
        <v>526126</v>
      </c>
      <c r="AI21" s="608">
        <f t="shared" si="4"/>
        <v>526126</v>
      </c>
      <c r="AJ21" s="609">
        <f t="shared" si="5"/>
        <v>0</v>
      </c>
      <c r="AL21" s="602">
        <f t="shared" si="6"/>
        <v>876</v>
      </c>
      <c r="AM21" s="610">
        <f t="shared" si="6"/>
        <v>876</v>
      </c>
      <c r="AN21" s="611">
        <f t="shared" si="7"/>
        <v>0</v>
      </c>
      <c r="AO21" s="612">
        <f t="shared" si="8"/>
        <v>0</v>
      </c>
    </row>
    <row r="22" spans="1:41" x14ac:dyDescent="0.2">
      <c r="A22" s="502">
        <v>101</v>
      </c>
      <c r="B22" s="503">
        <v>0.375</v>
      </c>
      <c r="C22" s="504">
        <v>2013</v>
      </c>
      <c r="D22" s="504">
        <v>3</v>
      </c>
      <c r="E22" s="504">
        <v>20</v>
      </c>
      <c r="F22" s="505">
        <v>527002</v>
      </c>
      <c r="G22" s="504">
        <v>0</v>
      </c>
      <c r="H22" s="505">
        <v>97309</v>
      </c>
      <c r="I22" s="504">
        <v>0</v>
      </c>
      <c r="J22" s="504">
        <v>0</v>
      </c>
      <c r="K22" s="504">
        <v>0</v>
      </c>
      <c r="L22" s="506">
        <v>322.28399999999999</v>
      </c>
      <c r="M22" s="505">
        <v>10.6</v>
      </c>
      <c r="N22" s="507">
        <v>0</v>
      </c>
      <c r="O22" s="508">
        <v>875</v>
      </c>
      <c r="P22" s="493">
        <f t="shared" si="0"/>
        <v>875</v>
      </c>
      <c r="Q22" s="114">
        <v>20</v>
      </c>
      <c r="R22" s="554">
        <f t="shared" si="1"/>
        <v>8752.8834079594671</v>
      </c>
      <c r="S22" s="510">
        <f>'Balance de Energía'!AR30</f>
        <v>36646.572252444697</v>
      </c>
      <c r="T22" s="511">
        <f t="shared" si="9"/>
        <v>983.56150855240526</v>
      </c>
      <c r="V22" s="514">
        <f t="shared" si="2"/>
        <v>875</v>
      </c>
      <c r="W22" s="515">
        <f t="shared" si="10"/>
        <v>30900.33625</v>
      </c>
      <c r="Y22" s="513">
        <f t="shared" si="11"/>
        <v>7.6587729819645345</v>
      </c>
      <c r="Z22" s="510">
        <f t="shared" si="12"/>
        <v>32.065750720889113</v>
      </c>
      <c r="AA22" s="511">
        <f t="shared" si="13"/>
        <v>30.392381336826574</v>
      </c>
      <c r="AE22" s="598" t="str">
        <f t="shared" si="3"/>
        <v>527002</v>
      </c>
      <c r="AF22" s="502">
        <v>101</v>
      </c>
      <c r="AG22" s="606">
        <v>20</v>
      </c>
      <c r="AH22" s="607">
        <v>527002</v>
      </c>
      <c r="AI22" s="608">
        <f t="shared" si="4"/>
        <v>527002</v>
      </c>
      <c r="AJ22" s="609">
        <f t="shared" si="5"/>
        <v>0</v>
      </c>
      <c r="AL22" s="602">
        <f t="shared" si="6"/>
        <v>877</v>
      </c>
      <c r="AM22" s="610">
        <f t="shared" si="6"/>
        <v>875</v>
      </c>
      <c r="AN22" s="611">
        <f t="shared" si="7"/>
        <v>-2</v>
      </c>
      <c r="AO22" s="612">
        <f t="shared" si="8"/>
        <v>-2.2857142857142859E-3</v>
      </c>
    </row>
    <row r="23" spans="1:41" x14ac:dyDescent="0.2">
      <c r="A23" s="502">
        <v>101</v>
      </c>
      <c r="B23" s="503">
        <v>0.375</v>
      </c>
      <c r="C23" s="504">
        <v>2013</v>
      </c>
      <c r="D23" s="504">
        <v>3</v>
      </c>
      <c r="E23" s="504">
        <v>21</v>
      </c>
      <c r="F23" s="505">
        <v>527877</v>
      </c>
      <c r="G23" s="504">
        <v>0</v>
      </c>
      <c r="H23" s="505">
        <v>97344</v>
      </c>
      <c r="I23" s="504">
        <v>0</v>
      </c>
      <c r="J23" s="504">
        <v>0</v>
      </c>
      <c r="K23" s="504">
        <v>0</v>
      </c>
      <c r="L23" s="506">
        <v>321.58359999999999</v>
      </c>
      <c r="M23" s="505">
        <v>10.8</v>
      </c>
      <c r="N23" s="507">
        <v>0</v>
      </c>
      <c r="O23" s="508">
        <v>775</v>
      </c>
      <c r="P23" s="493">
        <f t="shared" si="0"/>
        <v>775</v>
      </c>
      <c r="Q23" s="114">
        <v>21</v>
      </c>
      <c r="R23" s="554">
        <f t="shared" si="1"/>
        <v>8752.8834079594671</v>
      </c>
      <c r="S23" s="510">
        <f>'Balance de Energía'!AR31</f>
        <v>36646.572252444697</v>
      </c>
      <c r="T23" s="511">
        <f t="shared" si="9"/>
        <v>983.56150855240526</v>
      </c>
      <c r="V23" s="514">
        <f t="shared" si="2"/>
        <v>775</v>
      </c>
      <c r="W23" s="515">
        <f t="shared" si="10"/>
        <v>27368.86925</v>
      </c>
      <c r="Y23" s="513">
        <f t="shared" si="11"/>
        <v>6.7834846411685872</v>
      </c>
      <c r="Z23" s="510">
        <f t="shared" si="12"/>
        <v>28.401093495644641</v>
      </c>
      <c r="AA23" s="511">
        <f t="shared" si="13"/>
        <v>26.918966326903536</v>
      </c>
      <c r="AE23" s="598" t="str">
        <f t="shared" si="3"/>
        <v>527877</v>
      </c>
      <c r="AF23" s="502">
        <v>101</v>
      </c>
      <c r="AG23" s="606">
        <v>21</v>
      </c>
      <c r="AH23" s="607">
        <v>527879</v>
      </c>
      <c r="AI23" s="608">
        <f t="shared" si="4"/>
        <v>527877</v>
      </c>
      <c r="AJ23" s="609">
        <f t="shared" si="5"/>
        <v>-2</v>
      </c>
      <c r="AL23" s="602">
        <f t="shared" si="6"/>
        <v>776</v>
      </c>
      <c r="AM23" s="610">
        <f t="shared" si="6"/>
        <v>775</v>
      </c>
      <c r="AN23" s="611">
        <f t="shared" si="7"/>
        <v>-1</v>
      </c>
      <c r="AO23" s="612">
        <f t="shared" si="8"/>
        <v>-1.2903225806451613E-3</v>
      </c>
    </row>
    <row r="24" spans="1:41" x14ac:dyDescent="0.2">
      <c r="A24" s="502">
        <v>101</v>
      </c>
      <c r="B24" s="503">
        <v>0.375</v>
      </c>
      <c r="C24" s="504">
        <v>2013</v>
      </c>
      <c r="D24" s="504">
        <v>3</v>
      </c>
      <c r="E24" s="504">
        <v>22</v>
      </c>
      <c r="F24" s="505">
        <v>528652</v>
      </c>
      <c r="G24" s="504">
        <v>0</v>
      </c>
      <c r="H24" s="505">
        <v>97376</v>
      </c>
      <c r="I24" s="504">
        <v>0</v>
      </c>
      <c r="J24" s="504">
        <v>0</v>
      </c>
      <c r="K24" s="504">
        <v>0</v>
      </c>
      <c r="L24" s="506">
        <v>320.67520000000002</v>
      </c>
      <c r="M24" s="505">
        <v>12</v>
      </c>
      <c r="N24" s="507">
        <v>0</v>
      </c>
      <c r="O24" s="508">
        <v>951</v>
      </c>
      <c r="P24" s="493">
        <f t="shared" si="0"/>
        <v>951</v>
      </c>
      <c r="Q24" s="114">
        <v>22</v>
      </c>
      <c r="R24" s="554">
        <f t="shared" si="1"/>
        <v>8752.8834079594671</v>
      </c>
      <c r="S24" s="510">
        <f>'Balance de Energía'!AR32</f>
        <v>36646.572252444697</v>
      </c>
      <c r="T24" s="511">
        <f t="shared" si="9"/>
        <v>983.56150855240526</v>
      </c>
      <c r="V24" s="514">
        <f t="shared" si="2"/>
        <v>951</v>
      </c>
      <c r="W24" s="515">
        <f t="shared" si="10"/>
        <v>33584.251170000003</v>
      </c>
      <c r="Y24" s="513">
        <f t="shared" si="11"/>
        <v>8.3239921209694536</v>
      </c>
      <c r="Z24" s="510">
        <f t="shared" si="12"/>
        <v>34.850890212074908</v>
      </c>
      <c r="AA24" s="511">
        <f t="shared" si="13"/>
        <v>33.032176744368087</v>
      </c>
      <c r="AE24" s="598" t="str">
        <f t="shared" si="3"/>
        <v>528652</v>
      </c>
      <c r="AF24" s="502">
        <v>101</v>
      </c>
      <c r="AG24" s="606">
        <v>22</v>
      </c>
      <c r="AH24" s="607">
        <v>528655</v>
      </c>
      <c r="AI24" s="608">
        <f t="shared" si="4"/>
        <v>528652</v>
      </c>
      <c r="AJ24" s="609">
        <f t="shared" si="5"/>
        <v>-3</v>
      </c>
      <c r="AL24" s="602">
        <f t="shared" si="6"/>
        <v>948</v>
      </c>
      <c r="AM24" s="610">
        <f t="shared" si="6"/>
        <v>951</v>
      </c>
      <c r="AN24" s="611">
        <f t="shared" si="7"/>
        <v>3</v>
      </c>
      <c r="AO24" s="612">
        <f t="shared" si="8"/>
        <v>3.1545741324921135E-3</v>
      </c>
    </row>
    <row r="25" spans="1:41" x14ac:dyDescent="0.2">
      <c r="A25" s="502">
        <v>101</v>
      </c>
      <c r="B25" s="503">
        <v>0.375</v>
      </c>
      <c r="C25" s="504">
        <v>2013</v>
      </c>
      <c r="D25" s="504">
        <v>3</v>
      </c>
      <c r="E25" s="504">
        <v>23</v>
      </c>
      <c r="F25" s="505">
        <v>529603</v>
      </c>
      <c r="G25" s="504">
        <v>0</v>
      </c>
      <c r="H25" s="505">
        <v>97415</v>
      </c>
      <c r="I25" s="504">
        <v>0</v>
      </c>
      <c r="J25" s="504">
        <v>0</v>
      </c>
      <c r="K25" s="504">
        <v>0</v>
      </c>
      <c r="L25" s="506">
        <v>321.3725</v>
      </c>
      <c r="M25" s="505">
        <v>11.7</v>
      </c>
      <c r="N25" s="507">
        <v>0</v>
      </c>
      <c r="O25" s="508">
        <v>1047</v>
      </c>
      <c r="P25" s="493">
        <f t="shared" si="0"/>
        <v>1047</v>
      </c>
      <c r="Q25" s="114">
        <v>23</v>
      </c>
      <c r="R25" s="554">
        <f t="shared" si="1"/>
        <v>8752.8834079594671</v>
      </c>
      <c r="S25" s="510">
        <f>'Balance de Energía'!AR33</f>
        <v>36646.572252444697</v>
      </c>
      <c r="T25" s="511">
        <f t="shared" si="9"/>
        <v>983.56150855240526</v>
      </c>
      <c r="V25" s="514">
        <f t="shared" si="2"/>
        <v>1047</v>
      </c>
      <c r="W25" s="515">
        <f t="shared" si="10"/>
        <v>36974.459490000001</v>
      </c>
      <c r="Y25" s="513">
        <f t="shared" si="11"/>
        <v>9.1642689281335628</v>
      </c>
      <c r="Z25" s="510">
        <f t="shared" si="12"/>
        <v>38.368961148309594</v>
      </c>
      <c r="AA25" s="511">
        <f t="shared" si="13"/>
        <v>36.3666551538942</v>
      </c>
      <c r="AE25" s="598" t="str">
        <f t="shared" si="3"/>
        <v>529603</v>
      </c>
      <c r="AF25" s="502">
        <v>101</v>
      </c>
      <c r="AG25" s="606">
        <v>23</v>
      </c>
      <c r="AH25" s="607">
        <v>529603</v>
      </c>
      <c r="AI25" s="608">
        <f t="shared" si="4"/>
        <v>529603</v>
      </c>
      <c r="AJ25" s="609">
        <f t="shared" si="5"/>
        <v>0</v>
      </c>
      <c r="AL25" s="602">
        <f t="shared" si="6"/>
        <v>1048</v>
      </c>
      <c r="AM25" s="610">
        <f t="shared" si="6"/>
        <v>1047</v>
      </c>
      <c r="AN25" s="611">
        <f t="shared" si="7"/>
        <v>-1</v>
      </c>
      <c r="AO25" s="612">
        <f t="shared" si="8"/>
        <v>-9.5510983763132757E-4</v>
      </c>
    </row>
    <row r="26" spans="1:41" x14ac:dyDescent="0.2">
      <c r="A26" s="502">
        <v>101</v>
      </c>
      <c r="B26" s="503">
        <v>0.375</v>
      </c>
      <c r="C26" s="504">
        <v>2013</v>
      </c>
      <c r="D26" s="504">
        <v>3</v>
      </c>
      <c r="E26" s="504">
        <v>24</v>
      </c>
      <c r="F26" s="505">
        <v>530650</v>
      </c>
      <c r="G26" s="504">
        <v>0</v>
      </c>
      <c r="H26" s="505">
        <v>97458</v>
      </c>
      <c r="I26" s="504">
        <v>0</v>
      </c>
      <c r="J26" s="504">
        <v>0</v>
      </c>
      <c r="K26" s="504">
        <v>0</v>
      </c>
      <c r="L26" s="506">
        <v>324.58229999999998</v>
      </c>
      <c r="M26" s="505">
        <v>11.7</v>
      </c>
      <c r="N26" s="507">
        <v>0</v>
      </c>
      <c r="O26" s="508">
        <v>1029</v>
      </c>
      <c r="P26" s="493">
        <f t="shared" si="0"/>
        <v>1029</v>
      </c>
      <c r="Q26" s="114">
        <v>24</v>
      </c>
      <c r="R26" s="554">
        <f t="shared" si="1"/>
        <v>8752.8834079594671</v>
      </c>
      <c r="S26" s="510">
        <f>'Balance de Energía'!AR34</f>
        <v>36646.572252444697</v>
      </c>
      <c r="T26" s="511">
        <f t="shared" si="9"/>
        <v>983.56150855240526</v>
      </c>
      <c r="V26" s="514">
        <f t="shared" si="2"/>
        <v>1029</v>
      </c>
      <c r="W26" s="515">
        <f t="shared" si="10"/>
        <v>36338.795429999998</v>
      </c>
      <c r="Y26" s="513">
        <f t="shared" si="11"/>
        <v>9.006717026790291</v>
      </c>
      <c r="Z26" s="510">
        <f t="shared" si="12"/>
        <v>37.709322847765591</v>
      </c>
      <c r="AA26" s="511">
        <f t="shared" si="13"/>
        <v>35.741440452108051</v>
      </c>
      <c r="AE26" s="598" t="str">
        <f t="shared" si="3"/>
        <v>530650</v>
      </c>
      <c r="AF26" s="502">
        <v>101</v>
      </c>
      <c r="AG26" s="606">
        <v>24</v>
      </c>
      <c r="AH26" s="607">
        <v>530651</v>
      </c>
      <c r="AI26" s="608">
        <f t="shared" si="4"/>
        <v>530650</v>
      </c>
      <c r="AJ26" s="609">
        <f t="shared" si="5"/>
        <v>-1</v>
      </c>
      <c r="AL26" s="602">
        <f t="shared" si="6"/>
        <v>1033</v>
      </c>
      <c r="AM26" s="610">
        <f t="shared" si="6"/>
        <v>1029</v>
      </c>
      <c r="AN26" s="611">
        <f t="shared" si="7"/>
        <v>-4</v>
      </c>
      <c r="AO26" s="612">
        <f t="shared" si="8"/>
        <v>-3.8872691933916422E-3</v>
      </c>
    </row>
    <row r="27" spans="1:41" x14ac:dyDescent="0.2">
      <c r="A27" s="502">
        <v>101</v>
      </c>
      <c r="B27" s="503">
        <v>0.375</v>
      </c>
      <c r="C27" s="504">
        <v>2013</v>
      </c>
      <c r="D27" s="504">
        <v>3</v>
      </c>
      <c r="E27" s="504">
        <v>25</v>
      </c>
      <c r="F27" s="505">
        <v>531679</v>
      </c>
      <c r="G27" s="504">
        <v>0</v>
      </c>
      <c r="H27" s="505">
        <v>97499</v>
      </c>
      <c r="I27" s="504">
        <v>0</v>
      </c>
      <c r="J27" s="504">
        <v>0</v>
      </c>
      <c r="K27" s="504">
        <v>0</v>
      </c>
      <c r="L27" s="506">
        <v>324.96899999999999</v>
      </c>
      <c r="M27" s="505">
        <v>10.8</v>
      </c>
      <c r="N27" s="507">
        <v>0</v>
      </c>
      <c r="O27" s="508">
        <v>1053</v>
      </c>
      <c r="P27" s="493">
        <f t="shared" si="0"/>
        <v>1053</v>
      </c>
      <c r="Q27" s="114">
        <v>25</v>
      </c>
      <c r="R27" s="554">
        <f t="shared" si="1"/>
        <v>8752.8834079594671</v>
      </c>
      <c r="S27" s="510">
        <f>'Balance de Energía'!AR35</f>
        <v>36646.572252444697</v>
      </c>
      <c r="T27" s="511">
        <f t="shared" si="9"/>
        <v>983.56150855240526</v>
      </c>
      <c r="V27" s="514">
        <f t="shared" si="2"/>
        <v>1053</v>
      </c>
      <c r="W27" s="515">
        <f t="shared" si="10"/>
        <v>37186.34751</v>
      </c>
      <c r="Y27" s="513">
        <f t="shared" si="11"/>
        <v>9.2167862285813182</v>
      </c>
      <c r="Z27" s="510">
        <f t="shared" si="12"/>
        <v>38.588840581824265</v>
      </c>
      <c r="AA27" s="511">
        <f t="shared" si="13"/>
        <v>36.575060054489576</v>
      </c>
      <c r="AE27" s="598" t="str">
        <f t="shared" si="3"/>
        <v>531679</v>
      </c>
      <c r="AF27" s="502">
        <v>101</v>
      </c>
      <c r="AG27" s="606">
        <v>25</v>
      </c>
      <c r="AH27" s="607">
        <v>531684</v>
      </c>
      <c r="AI27" s="608">
        <f t="shared" si="4"/>
        <v>531679</v>
      </c>
      <c r="AJ27" s="609">
        <f t="shared" si="5"/>
        <v>-5</v>
      </c>
      <c r="AL27" s="602">
        <f t="shared" si="6"/>
        <v>1048</v>
      </c>
      <c r="AM27" s="610">
        <f t="shared" si="6"/>
        <v>1053</v>
      </c>
      <c r="AN27" s="611">
        <f t="shared" si="7"/>
        <v>5</v>
      </c>
      <c r="AO27" s="612">
        <f t="shared" si="8"/>
        <v>4.7483380816714148E-3</v>
      </c>
    </row>
    <row r="28" spans="1:41" x14ac:dyDescent="0.2">
      <c r="A28" s="502">
        <v>101</v>
      </c>
      <c r="B28" s="503">
        <v>0.375</v>
      </c>
      <c r="C28" s="504">
        <v>2013</v>
      </c>
      <c r="D28" s="504">
        <v>3</v>
      </c>
      <c r="E28" s="504">
        <v>26</v>
      </c>
      <c r="F28" s="505">
        <v>532732</v>
      </c>
      <c r="G28" s="504">
        <v>0</v>
      </c>
      <c r="H28" s="505">
        <v>97542</v>
      </c>
      <c r="I28" s="504">
        <v>0</v>
      </c>
      <c r="J28" s="504">
        <v>0</v>
      </c>
      <c r="K28" s="504">
        <v>0</v>
      </c>
      <c r="L28" s="506">
        <v>320.84449999999998</v>
      </c>
      <c r="M28" s="505">
        <v>10.7</v>
      </c>
      <c r="N28" s="507">
        <v>0</v>
      </c>
      <c r="O28" s="508">
        <v>1076</v>
      </c>
      <c r="P28" s="493">
        <f t="shared" si="0"/>
        <v>1076</v>
      </c>
      <c r="Q28" s="114">
        <v>26</v>
      </c>
      <c r="R28" s="554">
        <f t="shared" si="1"/>
        <v>8752.8834079594671</v>
      </c>
      <c r="S28" s="510">
        <f>'Balance de Energía'!AR36</f>
        <v>36646.572252444697</v>
      </c>
      <c r="T28" s="511">
        <f t="shared" si="9"/>
        <v>983.56150855240526</v>
      </c>
      <c r="V28" s="514">
        <f t="shared" si="2"/>
        <v>1076</v>
      </c>
      <c r="W28" s="515">
        <f t="shared" si="10"/>
        <v>37998.584920000001</v>
      </c>
      <c r="Y28" s="513">
        <f t="shared" si="11"/>
        <v>9.418102546964386</v>
      </c>
      <c r="Z28" s="510">
        <f t="shared" si="12"/>
        <v>39.431711743630494</v>
      </c>
      <c r="AA28" s="511">
        <f t="shared" si="13"/>
        <v>37.373945506771875</v>
      </c>
      <c r="AE28" s="598" t="str">
        <f t="shared" si="3"/>
        <v>532732</v>
      </c>
      <c r="AF28" s="502">
        <v>101</v>
      </c>
      <c r="AG28" s="606">
        <v>26</v>
      </c>
      <c r="AH28" s="607">
        <v>532732</v>
      </c>
      <c r="AI28" s="608">
        <f t="shared" si="4"/>
        <v>532732</v>
      </c>
      <c r="AJ28" s="609">
        <f t="shared" si="5"/>
        <v>0</v>
      </c>
      <c r="AL28" s="602">
        <f t="shared" si="6"/>
        <v>1079</v>
      </c>
      <c r="AM28" s="610">
        <f t="shared" si="6"/>
        <v>1076</v>
      </c>
      <c r="AN28" s="611">
        <f t="shared" si="7"/>
        <v>-3</v>
      </c>
      <c r="AO28" s="612">
        <f t="shared" si="8"/>
        <v>-2.7881040892193307E-3</v>
      </c>
    </row>
    <row r="29" spans="1:41" x14ac:dyDescent="0.2">
      <c r="A29" s="502">
        <v>101</v>
      </c>
      <c r="B29" s="503">
        <v>0.375</v>
      </c>
      <c r="C29" s="504">
        <v>2013</v>
      </c>
      <c r="D29" s="504">
        <v>3</v>
      </c>
      <c r="E29" s="504">
        <v>27</v>
      </c>
      <c r="F29" s="505">
        <v>533808</v>
      </c>
      <c r="G29" s="504">
        <v>0</v>
      </c>
      <c r="H29" s="505">
        <v>97586</v>
      </c>
      <c r="I29" s="504">
        <v>0</v>
      </c>
      <c r="J29" s="504">
        <v>0</v>
      </c>
      <c r="K29" s="504">
        <v>0</v>
      </c>
      <c r="L29" s="506">
        <v>321.01580000000001</v>
      </c>
      <c r="M29" s="505">
        <v>8.9</v>
      </c>
      <c r="N29" s="507">
        <v>0</v>
      </c>
      <c r="O29" s="508">
        <v>1053</v>
      </c>
      <c r="P29" s="493">
        <f t="shared" si="0"/>
        <v>1053</v>
      </c>
      <c r="Q29" s="114">
        <v>27</v>
      </c>
      <c r="R29" s="554">
        <f t="shared" si="1"/>
        <v>8752.8834079594671</v>
      </c>
      <c r="S29" s="510">
        <f>'Balance de Energía'!AR37</f>
        <v>36646.572252444697</v>
      </c>
      <c r="T29" s="511">
        <f t="shared" si="9"/>
        <v>983.56150855240526</v>
      </c>
      <c r="V29" s="514">
        <f t="shared" si="2"/>
        <v>1053</v>
      </c>
      <c r="W29" s="515">
        <f t="shared" si="10"/>
        <v>37186.34751</v>
      </c>
      <c r="Y29" s="513">
        <f t="shared" si="11"/>
        <v>9.2167862285813182</v>
      </c>
      <c r="Z29" s="510">
        <f t="shared" si="12"/>
        <v>38.588840581824265</v>
      </c>
      <c r="AA29" s="511">
        <f t="shared" si="13"/>
        <v>36.575060054489576</v>
      </c>
      <c r="AE29" s="598" t="str">
        <f t="shared" si="3"/>
        <v>533808</v>
      </c>
      <c r="AF29" s="502">
        <v>101</v>
      </c>
      <c r="AG29" s="606">
        <v>27</v>
      </c>
      <c r="AH29" s="607">
        <v>533811</v>
      </c>
      <c r="AI29" s="608">
        <f t="shared" si="4"/>
        <v>533808</v>
      </c>
      <c r="AJ29" s="609">
        <f t="shared" si="5"/>
        <v>-3</v>
      </c>
      <c r="AL29" s="602">
        <f t="shared" si="6"/>
        <v>1050</v>
      </c>
      <c r="AM29" s="610">
        <f t="shared" si="6"/>
        <v>1053</v>
      </c>
      <c r="AN29" s="611">
        <f t="shared" si="7"/>
        <v>3</v>
      </c>
      <c r="AO29" s="612">
        <f t="shared" si="8"/>
        <v>2.8490028490028491E-3</v>
      </c>
    </row>
    <row r="30" spans="1:41" x14ac:dyDescent="0.2">
      <c r="A30" s="502">
        <v>101</v>
      </c>
      <c r="B30" s="503">
        <v>0.375</v>
      </c>
      <c r="C30" s="504">
        <v>2013</v>
      </c>
      <c r="D30" s="504">
        <v>3</v>
      </c>
      <c r="E30" s="504">
        <v>28</v>
      </c>
      <c r="F30" s="505">
        <v>534861</v>
      </c>
      <c r="G30" s="504">
        <v>0</v>
      </c>
      <c r="H30" s="505">
        <v>97628</v>
      </c>
      <c r="I30" s="504">
        <v>0</v>
      </c>
      <c r="J30" s="504">
        <v>0</v>
      </c>
      <c r="K30" s="504">
        <v>0</v>
      </c>
      <c r="L30" s="506">
        <v>323.35129999999998</v>
      </c>
      <c r="M30" s="505">
        <v>11</v>
      </c>
      <c r="N30" s="507">
        <v>0</v>
      </c>
      <c r="O30" s="508">
        <v>900</v>
      </c>
      <c r="P30" s="493">
        <f t="shared" si="0"/>
        <v>900</v>
      </c>
      <c r="Q30" s="114">
        <v>28</v>
      </c>
      <c r="R30" s="554">
        <f t="shared" si="1"/>
        <v>8752.8834079594671</v>
      </c>
      <c r="S30" s="510">
        <f>'Balance de Energía'!AR38</f>
        <v>36646.572252444697</v>
      </c>
      <c r="T30" s="511">
        <f t="shared" si="9"/>
        <v>983.56150855240526</v>
      </c>
      <c r="V30" s="514">
        <f t="shared" si="2"/>
        <v>900</v>
      </c>
      <c r="W30" s="515">
        <f t="shared" si="10"/>
        <v>31783.203000000001</v>
      </c>
      <c r="Y30" s="513">
        <f t="shared" si="11"/>
        <v>7.8775950671635204</v>
      </c>
      <c r="Z30" s="510">
        <f t="shared" si="12"/>
        <v>32.98191502720023</v>
      </c>
      <c r="AA30" s="511">
        <f t="shared" si="13"/>
        <v>31.260735089307335</v>
      </c>
      <c r="AE30" s="598" t="str">
        <f t="shared" si="3"/>
        <v>534861</v>
      </c>
      <c r="AF30" s="502">
        <v>101</v>
      </c>
      <c r="AG30" s="606">
        <v>28</v>
      </c>
      <c r="AH30" s="607">
        <v>534861</v>
      </c>
      <c r="AI30" s="608">
        <f t="shared" si="4"/>
        <v>534861</v>
      </c>
      <c r="AJ30" s="609">
        <f t="shared" si="5"/>
        <v>0</v>
      </c>
      <c r="AL30" s="602">
        <f t="shared" si="6"/>
        <v>900</v>
      </c>
      <c r="AM30" s="610">
        <f t="shared" si="6"/>
        <v>900</v>
      </c>
      <c r="AN30" s="611">
        <f t="shared" si="7"/>
        <v>0</v>
      </c>
      <c r="AO30" s="612">
        <f t="shared" si="8"/>
        <v>0</v>
      </c>
    </row>
    <row r="31" spans="1:41" x14ac:dyDescent="0.2">
      <c r="A31" s="502">
        <v>101</v>
      </c>
      <c r="B31" s="503">
        <v>0.375</v>
      </c>
      <c r="C31" s="504">
        <v>2013</v>
      </c>
      <c r="D31" s="504">
        <v>3</v>
      </c>
      <c r="E31" s="504">
        <v>29</v>
      </c>
      <c r="F31" s="505">
        <v>535761</v>
      </c>
      <c r="G31" s="504">
        <v>0</v>
      </c>
      <c r="H31" s="505">
        <v>97665</v>
      </c>
      <c r="I31" s="504">
        <v>0</v>
      </c>
      <c r="J31" s="504">
        <v>0</v>
      </c>
      <c r="K31" s="504">
        <v>0</v>
      </c>
      <c r="L31" s="506">
        <v>326.03519999999997</v>
      </c>
      <c r="M31" s="505">
        <v>11.5</v>
      </c>
      <c r="N31" s="507">
        <v>0</v>
      </c>
      <c r="O31" s="508">
        <v>174</v>
      </c>
      <c r="P31" s="493">
        <f t="shared" si="0"/>
        <v>174</v>
      </c>
      <c r="Q31" s="114">
        <v>29</v>
      </c>
      <c r="R31" s="554">
        <f t="shared" si="1"/>
        <v>8752.8834079594671</v>
      </c>
      <c r="S31" s="510">
        <f>'Balance de Energía'!AR39</f>
        <v>36646.572252444697</v>
      </c>
      <c r="T31" s="511">
        <f t="shared" si="9"/>
        <v>983.56150855240526</v>
      </c>
      <c r="V31" s="514">
        <f t="shared" si="2"/>
        <v>174</v>
      </c>
      <c r="W31" s="515">
        <f t="shared" si="10"/>
        <v>6144.7525800000003</v>
      </c>
      <c r="Y31" s="513">
        <f t="shared" si="11"/>
        <v>1.5230017129849474</v>
      </c>
      <c r="Z31" s="510">
        <f t="shared" si="12"/>
        <v>6.3765035719253778</v>
      </c>
      <c r="AA31" s="511">
        <f t="shared" si="13"/>
        <v>6.0437421172660848</v>
      </c>
      <c r="AE31" s="598" t="str">
        <f t="shared" si="3"/>
        <v>535761</v>
      </c>
      <c r="AF31" s="502">
        <v>101</v>
      </c>
      <c r="AG31" s="606">
        <v>29</v>
      </c>
      <c r="AH31" s="607">
        <v>535761</v>
      </c>
      <c r="AI31" s="608">
        <f t="shared" si="4"/>
        <v>535761</v>
      </c>
      <c r="AJ31" s="609">
        <f t="shared" si="5"/>
        <v>0</v>
      </c>
      <c r="AL31" s="602">
        <f t="shared" si="6"/>
        <v>177</v>
      </c>
      <c r="AM31" s="610">
        <f t="shared" si="6"/>
        <v>174</v>
      </c>
      <c r="AN31" s="611">
        <f t="shared" si="7"/>
        <v>-3</v>
      </c>
      <c r="AO31" s="612">
        <f t="shared" si="8"/>
        <v>-1.7241379310344827E-2</v>
      </c>
    </row>
    <row r="32" spans="1:41" x14ac:dyDescent="0.2">
      <c r="A32" s="502">
        <v>101</v>
      </c>
      <c r="B32" s="503">
        <v>0.375</v>
      </c>
      <c r="C32" s="504">
        <v>2013</v>
      </c>
      <c r="D32" s="504">
        <v>3</v>
      </c>
      <c r="E32" s="504">
        <v>30</v>
      </c>
      <c r="F32" s="505">
        <v>535935</v>
      </c>
      <c r="G32" s="504">
        <v>0</v>
      </c>
      <c r="H32" s="505">
        <v>97672</v>
      </c>
      <c r="I32" s="504">
        <v>0</v>
      </c>
      <c r="J32" s="504">
        <v>0</v>
      </c>
      <c r="K32" s="504">
        <v>0</v>
      </c>
      <c r="L32" s="506">
        <v>325.86380000000003</v>
      </c>
      <c r="M32" s="505">
        <v>17.899999999999999</v>
      </c>
      <c r="N32" s="507">
        <v>0</v>
      </c>
      <c r="O32" s="508">
        <v>975</v>
      </c>
      <c r="P32" s="493">
        <f t="shared" si="0"/>
        <v>975</v>
      </c>
      <c r="Q32" s="114">
        <v>30</v>
      </c>
      <c r="R32" s="554">
        <f t="shared" si="1"/>
        <v>8752.8834079594671</v>
      </c>
      <c r="S32" s="510">
        <f>'Balance de Energía'!AR40</f>
        <v>36646.572252444697</v>
      </c>
      <c r="T32" s="511">
        <f t="shared" si="9"/>
        <v>983.56150855240526</v>
      </c>
      <c r="V32" s="514">
        <f t="shared" si="2"/>
        <v>975</v>
      </c>
      <c r="W32" s="515">
        <f t="shared" si="10"/>
        <v>34431.803249999997</v>
      </c>
      <c r="Y32" s="513">
        <f t="shared" si="11"/>
        <v>8.5340613227604809</v>
      </c>
      <c r="Z32" s="510">
        <f t="shared" si="12"/>
        <v>35.730407946133575</v>
      </c>
      <c r="AA32" s="511">
        <f t="shared" si="13"/>
        <v>33.865796346749605</v>
      </c>
      <c r="AE32" s="598" t="str">
        <f t="shared" si="3"/>
        <v>535935</v>
      </c>
      <c r="AF32" s="502">
        <v>101</v>
      </c>
      <c r="AG32" s="606">
        <v>30</v>
      </c>
      <c r="AH32" s="607">
        <v>535938</v>
      </c>
      <c r="AI32" s="608">
        <f t="shared" si="4"/>
        <v>535935</v>
      </c>
      <c r="AJ32" s="609">
        <f t="shared" si="5"/>
        <v>-3</v>
      </c>
      <c r="AL32" s="602">
        <f t="shared" si="6"/>
        <v>974</v>
      </c>
      <c r="AM32" s="610">
        <f t="shared" si="6"/>
        <v>975</v>
      </c>
      <c r="AN32" s="611">
        <f t="shared" si="7"/>
        <v>1</v>
      </c>
      <c r="AO32" s="612">
        <f t="shared" si="8"/>
        <v>1.0256410256410256E-3</v>
      </c>
    </row>
    <row r="33" spans="1:41" ht="13.5" thickBot="1" x14ac:dyDescent="0.25">
      <c r="A33" s="502">
        <v>101</v>
      </c>
      <c r="B33" s="503">
        <v>0.375</v>
      </c>
      <c r="C33" s="504">
        <v>2013</v>
      </c>
      <c r="D33" s="504">
        <v>3</v>
      </c>
      <c r="E33" s="504">
        <v>31</v>
      </c>
      <c r="F33" s="505">
        <v>536910</v>
      </c>
      <c r="G33" s="504">
        <v>0</v>
      </c>
      <c r="H33" s="505">
        <v>97711</v>
      </c>
      <c r="I33" s="504">
        <v>0</v>
      </c>
      <c r="J33" s="504">
        <v>0</v>
      </c>
      <c r="K33" s="504">
        <v>0</v>
      </c>
      <c r="L33" s="506">
        <v>325.74200000000002</v>
      </c>
      <c r="M33" s="505">
        <v>12.2</v>
      </c>
      <c r="N33" s="507">
        <v>0</v>
      </c>
      <c r="O33" s="508">
        <v>1005</v>
      </c>
      <c r="P33" s="493">
        <f t="shared" si="0"/>
        <v>1005</v>
      </c>
      <c r="Q33" s="114">
        <v>31</v>
      </c>
      <c r="R33" s="555">
        <f t="shared" si="1"/>
        <v>8752.8834079594671</v>
      </c>
      <c r="S33" s="516">
        <f>'Balance de Energía'!AR41</f>
        <v>36646.572252444697</v>
      </c>
      <c r="T33" s="517">
        <f t="shared" si="9"/>
        <v>983.56150855240526</v>
      </c>
      <c r="V33" s="518">
        <f t="shared" si="2"/>
        <v>1005</v>
      </c>
      <c r="W33" s="519">
        <f t="shared" si="10"/>
        <v>35491.243349999997</v>
      </c>
      <c r="Y33" s="513">
        <f t="shared" si="11"/>
        <v>8.7966478249992655</v>
      </c>
      <c r="Z33" s="510">
        <f t="shared" si="12"/>
        <v>36.829805113706925</v>
      </c>
      <c r="AA33" s="511">
        <f t="shared" si="13"/>
        <v>34.907820849726519</v>
      </c>
      <c r="AE33" s="598" t="str">
        <f t="shared" si="3"/>
        <v>536910</v>
      </c>
      <c r="AF33" s="502">
        <v>101</v>
      </c>
      <c r="AG33" s="606">
        <v>31</v>
      </c>
      <c r="AH33" s="607">
        <v>536912</v>
      </c>
      <c r="AI33" s="608">
        <f t="shared" si="4"/>
        <v>536910</v>
      </c>
      <c r="AJ33" s="609">
        <f t="shared" si="5"/>
        <v>-2</v>
      </c>
      <c r="AL33" s="602">
        <f t="shared" si="6"/>
        <v>1003</v>
      </c>
      <c r="AM33" s="613">
        <f t="shared" si="6"/>
        <v>1005</v>
      </c>
      <c r="AN33" s="611">
        <f t="shared" si="7"/>
        <v>2</v>
      </c>
      <c r="AO33" s="612">
        <f t="shared" si="8"/>
        <v>1.990049751243781E-3</v>
      </c>
    </row>
    <row r="34" spans="1:41" ht="13.5" thickBot="1" x14ac:dyDescent="0.25">
      <c r="A34" s="148">
        <v>101</v>
      </c>
      <c r="B34" s="520">
        <v>0.375</v>
      </c>
      <c r="C34" s="146">
        <v>2013</v>
      </c>
      <c r="D34" s="146">
        <v>4</v>
      </c>
      <c r="E34" s="146">
        <v>1</v>
      </c>
      <c r="F34" s="521">
        <v>537915</v>
      </c>
      <c r="G34" s="146">
        <v>0</v>
      </c>
      <c r="H34" s="521">
        <v>97752</v>
      </c>
      <c r="I34" s="146">
        <v>0</v>
      </c>
      <c r="J34" s="146">
        <v>0</v>
      </c>
      <c r="K34" s="146">
        <v>0</v>
      </c>
      <c r="L34" s="522">
        <v>324.85750000000002</v>
      </c>
      <c r="M34" s="521">
        <v>12.4</v>
      </c>
      <c r="N34" s="523">
        <v>0</v>
      </c>
      <c r="O34" s="524">
        <v>1037</v>
      </c>
      <c r="R34" s="525"/>
      <c r="S34" s="526"/>
      <c r="T34" s="527"/>
      <c r="V34" s="528"/>
      <c r="W34" s="529"/>
      <c r="Y34" s="530"/>
      <c r="Z34" s="531"/>
      <c r="AA34" s="532"/>
      <c r="AE34" s="598" t="str">
        <f t="shared" si="3"/>
        <v>537915</v>
      </c>
      <c r="AF34" s="148">
        <v>101</v>
      </c>
      <c r="AG34" s="614">
        <v>1</v>
      </c>
      <c r="AH34" s="615">
        <v>537915</v>
      </c>
      <c r="AI34" s="616">
        <f t="shared" si="4"/>
        <v>537915</v>
      </c>
      <c r="AJ34" s="617">
        <f t="shared" si="5"/>
        <v>0</v>
      </c>
      <c r="AL34" s="618"/>
      <c r="AM34" s="619"/>
      <c r="AN34" s="620"/>
      <c r="AO34" s="620"/>
    </row>
    <row r="35" spans="1:41" ht="13.5" thickBot="1" x14ac:dyDescent="0.25">
      <c r="AE35" s="598"/>
    </row>
    <row r="36" spans="1:41" ht="13.5" thickBot="1" x14ac:dyDescent="0.25">
      <c r="D36" s="533" t="s">
        <v>169</v>
      </c>
      <c r="E36" s="534">
        <f>COUNT(E3:E34)</f>
        <v>32</v>
      </c>
      <c r="K36" s="533" t="s">
        <v>170</v>
      </c>
      <c r="L36" s="535">
        <f>MAX(L3:L34)</f>
        <v>328.01909999999998</v>
      </c>
      <c r="M36" s="535">
        <f>MAX(M3:M34)</f>
        <v>18.98</v>
      </c>
      <c r="N36" s="533" t="s">
        <v>68</v>
      </c>
      <c r="O36" s="535">
        <f>SUM(O3:O33)</f>
        <v>31200</v>
      </c>
      <c r="Q36" s="533" t="s">
        <v>171</v>
      </c>
      <c r="R36" s="536">
        <f>AVERAGE(R3:R33)</f>
        <v>8713.7456348162505</v>
      </c>
      <c r="S36" s="536">
        <f>AVERAGE(S3:S33)</f>
        <v>36482.710223848648</v>
      </c>
      <c r="T36" s="537">
        <f>AVERAGE(T3:T33)</f>
        <v>979.16359698430085</v>
      </c>
      <c r="V36" s="538">
        <f>SUM(V3:V33)</f>
        <v>31200</v>
      </c>
      <c r="W36" s="539">
        <f>SUM(W3:W33)</f>
        <v>1101817.7039999999</v>
      </c>
      <c r="Y36" s="540">
        <f>SUM(Y3:Y33)</f>
        <v>271.76326466963695</v>
      </c>
      <c r="Z36" s="541">
        <f>SUM(Z3:Z33)</f>
        <v>1137.8184365188363</v>
      </c>
      <c r="AA36" s="542">
        <f>SUM(AA3:AA33)</f>
        <v>1078.4407362159338</v>
      </c>
      <c r="AF36" s="621" t="s">
        <v>208</v>
      </c>
      <c r="AG36" s="534">
        <f>COUNT(AG3:AG34)</f>
        <v>30</v>
      </c>
      <c r="AJ36" s="622">
        <f>SUM(AJ3:AJ33)</f>
        <v>1048296</v>
      </c>
      <c r="AK36" s="623" t="s">
        <v>176</v>
      </c>
      <c r="AL36" s="624"/>
      <c r="AM36" s="624"/>
      <c r="AN36" s="622">
        <f>SUM(AN3:AN33)</f>
        <v>0</v>
      </c>
      <c r="AO36" s="625" t="s">
        <v>176</v>
      </c>
    </row>
    <row r="37" spans="1:41" ht="13.5" thickBot="1" x14ac:dyDescent="0.25">
      <c r="K37" s="533" t="s">
        <v>171</v>
      </c>
      <c r="L37" s="543">
        <f>AVERAGE(L3:L34)</f>
        <v>322.56516249999993</v>
      </c>
      <c r="M37" s="543">
        <f>AVERAGE(M3:M34)</f>
        <v>10.224374999999998</v>
      </c>
      <c r="N37" s="533" t="s">
        <v>172</v>
      </c>
      <c r="O37" s="544">
        <f>O36*35.31467</f>
        <v>1101817.7039999999</v>
      </c>
      <c r="R37" s="545" t="s">
        <v>173</v>
      </c>
      <c r="S37" s="545" t="s">
        <v>174</v>
      </c>
      <c r="T37" s="545" t="s">
        <v>175</v>
      </c>
      <c r="V37" s="546" t="s">
        <v>176</v>
      </c>
      <c r="W37" s="546" t="s">
        <v>176</v>
      </c>
      <c r="Y37" s="546" t="s">
        <v>176</v>
      </c>
      <c r="Z37" s="546" t="s">
        <v>176</v>
      </c>
      <c r="AA37" s="546" t="s">
        <v>176</v>
      </c>
      <c r="AF37" s="621" t="s">
        <v>209</v>
      </c>
      <c r="AG37" s="626">
        <f>-COUNT(AG3:AG34)+COUNT(E3:E34)</f>
        <v>2</v>
      </c>
      <c r="AN37" s="627">
        <f>IFERROR(AN36/SUM(AM3:AM33),"")</f>
        <v>0</v>
      </c>
      <c r="AO37" s="625" t="s">
        <v>210</v>
      </c>
    </row>
    <row r="38" spans="1:41" ht="13.5" thickBot="1" x14ac:dyDescent="0.25">
      <c r="K38" s="533" t="s">
        <v>177</v>
      </c>
      <c r="L38" s="544">
        <f>MIN(L3:L34)</f>
        <v>311.69740000000002</v>
      </c>
      <c r="M38" s="544">
        <f>MIN(M3:M34)</f>
        <v>5.4</v>
      </c>
      <c r="V38" s="119" t="s">
        <v>68</v>
      </c>
      <c r="W38" s="119" t="s">
        <v>178</v>
      </c>
      <c r="Y38" s="119" t="s">
        <v>179</v>
      </c>
      <c r="Z38" s="119" t="s">
        <v>180</v>
      </c>
      <c r="AA38" s="119" t="s">
        <v>181</v>
      </c>
    </row>
    <row r="39" spans="1:41" ht="13.5" thickBot="1" x14ac:dyDescent="0.25">
      <c r="L39" s="547" t="s">
        <v>182</v>
      </c>
      <c r="M39" s="119" t="s">
        <v>183</v>
      </c>
    </row>
    <row r="40" spans="1:41" ht="13.5" thickBot="1" x14ac:dyDescent="0.25">
      <c r="AF40" s="621" t="s">
        <v>211</v>
      </c>
      <c r="AG40" s="534">
        <v>1</v>
      </c>
      <c r="AH40" s="589" t="s">
        <v>68</v>
      </c>
    </row>
    <row r="41" spans="1:41" ht="13.5" thickBot="1" x14ac:dyDescent="0.25">
      <c r="AF41" s="621" t="s">
        <v>212</v>
      </c>
      <c r="AG41" s="628">
        <v>0.01</v>
      </c>
    </row>
    <row r="43" spans="1:41" x14ac:dyDescent="0.2">
      <c r="K43" s="548" t="s">
        <v>184</v>
      </c>
      <c r="L43" s="549">
        <v>0.1</v>
      </c>
      <c r="M43" s="548"/>
    </row>
    <row r="44" spans="1:41" x14ac:dyDescent="0.2">
      <c r="K44" s="550" t="s">
        <v>185</v>
      </c>
      <c r="L44" s="551">
        <f>L37*(1+$L$43)</f>
        <v>354.82167874999993</v>
      </c>
      <c r="M44" s="551">
        <f>M37*(1+$L$43)</f>
        <v>11.246812499999999</v>
      </c>
    </row>
    <row r="45" spans="1:41" x14ac:dyDescent="0.2">
      <c r="K45" s="550" t="s">
        <v>186</v>
      </c>
      <c r="L45" s="551">
        <f>L37*(1-$L$43)</f>
        <v>290.30864624999992</v>
      </c>
      <c r="M45" s="551">
        <f>M37*(1-$L$43)</f>
        <v>9.2019374999999997</v>
      </c>
    </row>
    <row r="47" spans="1:41" x14ac:dyDescent="0.2">
      <c r="A47" s="533" t="s">
        <v>187</v>
      </c>
      <c r="B47" s="552" t="s">
        <v>188</v>
      </c>
    </row>
    <row r="48" spans="1:41" x14ac:dyDescent="0.2">
      <c r="A48" s="533" t="s">
        <v>189</v>
      </c>
      <c r="B48" s="553">
        <v>40583</v>
      </c>
    </row>
  </sheetData>
  <phoneticPr fontId="0" type="noConversion"/>
  <conditionalFormatting sqref="L3:L34">
    <cfRule type="cellIs" dxfId="1343" priority="47" stopIfTrue="1" operator="lessThan">
      <formula>$L$45</formula>
    </cfRule>
    <cfRule type="cellIs" dxfId="1342" priority="48" stopIfTrue="1" operator="greaterThan">
      <formula>$L$44</formula>
    </cfRule>
  </conditionalFormatting>
  <conditionalFormatting sqref="M3:M34">
    <cfRule type="cellIs" dxfId="1341" priority="45" stopIfTrue="1" operator="lessThan">
      <formula>$M$45</formula>
    </cfRule>
    <cfRule type="cellIs" dxfId="1340" priority="46" stopIfTrue="1" operator="greaterThan">
      <formula>$M$44</formula>
    </cfRule>
  </conditionalFormatting>
  <conditionalFormatting sqref="O3:O34">
    <cfRule type="cellIs" dxfId="1339" priority="44" stopIfTrue="1" operator="lessThan">
      <formula>0</formula>
    </cfRule>
  </conditionalFormatting>
  <conditionalFormatting sqref="O3:O33">
    <cfRule type="cellIs" dxfId="1338" priority="43" stopIfTrue="1" operator="lessThan">
      <formula>0</formula>
    </cfRule>
  </conditionalFormatting>
  <conditionalFormatting sqref="O3">
    <cfRule type="cellIs" dxfId="1337" priority="42" stopIfTrue="1" operator="notEqual">
      <formula>$P$3</formula>
    </cfRule>
  </conditionalFormatting>
  <conditionalFormatting sqref="O4">
    <cfRule type="cellIs" dxfId="1336" priority="41" stopIfTrue="1" operator="notEqual">
      <formula>P$4</formula>
    </cfRule>
  </conditionalFormatting>
  <conditionalFormatting sqref="O5">
    <cfRule type="cellIs" dxfId="1335" priority="40" stopIfTrue="1" operator="notEqual">
      <formula>$P$5</formula>
    </cfRule>
  </conditionalFormatting>
  <conditionalFormatting sqref="O6">
    <cfRule type="cellIs" dxfId="1334" priority="39" stopIfTrue="1" operator="notEqual">
      <formula>$P$6</formula>
    </cfRule>
  </conditionalFormatting>
  <conditionalFormatting sqref="O7">
    <cfRule type="cellIs" dxfId="1333" priority="38" stopIfTrue="1" operator="notEqual">
      <formula>$P$7</formula>
    </cfRule>
  </conditionalFormatting>
  <conditionalFormatting sqref="O8">
    <cfRule type="cellIs" dxfId="1332" priority="37" stopIfTrue="1" operator="notEqual">
      <formula>$P$8</formula>
    </cfRule>
  </conditionalFormatting>
  <conditionalFormatting sqref="O9">
    <cfRule type="cellIs" dxfId="1331" priority="36" stopIfTrue="1" operator="notEqual">
      <formula>$P$9</formula>
    </cfRule>
  </conditionalFormatting>
  <conditionalFormatting sqref="O10">
    <cfRule type="cellIs" dxfId="1330" priority="34" stopIfTrue="1" operator="notEqual">
      <formula>$P$10</formula>
    </cfRule>
    <cfRule type="cellIs" dxfId="1329" priority="35" stopIfTrue="1" operator="greaterThan">
      <formula>$P$10</formula>
    </cfRule>
  </conditionalFormatting>
  <conditionalFormatting sqref="O11">
    <cfRule type="cellIs" dxfId="1328" priority="32" stopIfTrue="1" operator="notEqual">
      <formula>$P$11</formula>
    </cfRule>
    <cfRule type="cellIs" dxfId="1327" priority="33" stopIfTrue="1" operator="greaterThan">
      <formula>$P$11</formula>
    </cfRule>
  </conditionalFormatting>
  <conditionalFormatting sqref="O12">
    <cfRule type="cellIs" dxfId="1326" priority="31" stopIfTrue="1" operator="notEqual">
      <formula>$P$12</formula>
    </cfRule>
  </conditionalFormatting>
  <conditionalFormatting sqref="O14">
    <cfRule type="cellIs" dxfId="1325" priority="30" stopIfTrue="1" operator="notEqual">
      <formula>$P$14</formula>
    </cfRule>
  </conditionalFormatting>
  <conditionalFormatting sqref="O15">
    <cfRule type="cellIs" dxfId="1324" priority="29" stopIfTrue="1" operator="notEqual">
      <formula>$P$15</formula>
    </cfRule>
  </conditionalFormatting>
  <conditionalFormatting sqref="O16">
    <cfRule type="cellIs" dxfId="1323" priority="28" stopIfTrue="1" operator="notEqual">
      <formula>$P$16</formula>
    </cfRule>
  </conditionalFormatting>
  <conditionalFormatting sqref="O17">
    <cfRule type="cellIs" dxfId="1322" priority="27" stopIfTrue="1" operator="notEqual">
      <formula>$P$17</formula>
    </cfRule>
  </conditionalFormatting>
  <conditionalFormatting sqref="O18">
    <cfRule type="cellIs" dxfId="1321" priority="26" stopIfTrue="1" operator="notEqual">
      <formula>$P$18</formula>
    </cfRule>
  </conditionalFormatting>
  <conditionalFormatting sqref="O19">
    <cfRule type="cellIs" dxfId="1320" priority="24" stopIfTrue="1" operator="notEqual">
      <formula>$P$19</formula>
    </cfRule>
    <cfRule type="cellIs" dxfId="1319" priority="25" stopIfTrue="1" operator="greaterThan">
      <formula>$P$19</formula>
    </cfRule>
  </conditionalFormatting>
  <conditionalFormatting sqref="O20">
    <cfRule type="cellIs" dxfId="1318" priority="22" stopIfTrue="1" operator="notEqual">
      <formula>$P$20</formula>
    </cfRule>
    <cfRule type="cellIs" dxfId="1317" priority="23" stopIfTrue="1" operator="greaterThan">
      <formula>$P$20</formula>
    </cfRule>
  </conditionalFormatting>
  <conditionalFormatting sqref="O21">
    <cfRule type="cellIs" dxfId="1316" priority="21" stopIfTrue="1" operator="notEqual">
      <formula>$P$21</formula>
    </cfRule>
  </conditionalFormatting>
  <conditionalFormatting sqref="O22">
    <cfRule type="cellIs" dxfId="1315" priority="20" stopIfTrue="1" operator="notEqual">
      <formula>$P$22</formula>
    </cfRule>
  </conditionalFormatting>
  <conditionalFormatting sqref="O23">
    <cfRule type="cellIs" dxfId="1314" priority="19" stopIfTrue="1" operator="notEqual">
      <formula>$P$23</formula>
    </cfRule>
  </conditionalFormatting>
  <conditionalFormatting sqref="O24">
    <cfRule type="cellIs" dxfId="1313" priority="17" stopIfTrue="1" operator="notEqual">
      <formula>$P$24</formula>
    </cfRule>
    <cfRule type="cellIs" dxfId="1312" priority="18" stopIfTrue="1" operator="greaterThan">
      <formula>$P$24</formula>
    </cfRule>
  </conditionalFormatting>
  <conditionalFormatting sqref="O25">
    <cfRule type="cellIs" dxfId="1311" priority="15" stopIfTrue="1" operator="notEqual">
      <formula>$P$25</formula>
    </cfRule>
    <cfRule type="cellIs" dxfId="1310" priority="16" stopIfTrue="1" operator="greaterThan">
      <formula>$P$25</formula>
    </cfRule>
  </conditionalFormatting>
  <conditionalFormatting sqref="O26">
    <cfRule type="cellIs" dxfId="1309" priority="14" stopIfTrue="1" operator="notEqual">
      <formula>$P$26</formula>
    </cfRule>
  </conditionalFormatting>
  <conditionalFormatting sqref="O27">
    <cfRule type="cellIs" dxfId="1308" priority="13" stopIfTrue="1" operator="notEqual">
      <formula>$P$27</formula>
    </cfRule>
  </conditionalFormatting>
  <conditionalFormatting sqref="O28">
    <cfRule type="cellIs" dxfId="1307" priority="12" stopIfTrue="1" operator="notEqual">
      <formula>$P$28</formula>
    </cfRule>
  </conditionalFormatting>
  <conditionalFormatting sqref="O29">
    <cfRule type="cellIs" dxfId="1306" priority="11" stopIfTrue="1" operator="notEqual">
      <formula>$P$29</formula>
    </cfRule>
  </conditionalFormatting>
  <conditionalFormatting sqref="O30">
    <cfRule type="cellIs" dxfId="1305" priority="10" stopIfTrue="1" operator="notEqual">
      <formula>$P$30</formula>
    </cfRule>
  </conditionalFormatting>
  <conditionalFormatting sqref="O31">
    <cfRule type="cellIs" dxfId="1304" priority="8" stopIfTrue="1" operator="notEqual">
      <formula>$P$31</formula>
    </cfRule>
    <cfRule type="cellIs" dxfId="1303" priority="9" stopIfTrue="1" operator="greaterThan">
      <formula>$P$31</formula>
    </cfRule>
  </conditionalFormatting>
  <conditionalFormatting sqref="O32">
    <cfRule type="cellIs" dxfId="1302" priority="6" stopIfTrue="1" operator="notEqual">
      <formula>$P$32</formula>
    </cfRule>
    <cfRule type="cellIs" dxfId="1301" priority="7" stopIfTrue="1" operator="greaterThan">
      <formula>$P$32</formula>
    </cfRule>
  </conditionalFormatting>
  <conditionalFormatting sqref="O33">
    <cfRule type="cellIs" dxfId="1300" priority="5" stopIfTrue="1" operator="notEqual">
      <formula>$P$33</formula>
    </cfRule>
  </conditionalFormatting>
  <conditionalFormatting sqref="O13">
    <cfRule type="cellIs" dxfId="1299" priority="4" stopIfTrue="1" operator="notEqual">
      <formula>$P$13</formula>
    </cfRule>
  </conditionalFormatting>
  <conditionalFormatting sqref="AG3:AG34">
    <cfRule type="cellIs" dxfId="1298" priority="3" stopIfTrue="1" operator="notEqual">
      <formula>E3</formula>
    </cfRule>
  </conditionalFormatting>
  <conditionalFormatting sqref="AH3:AH34">
    <cfRule type="cellIs" dxfId="1297" priority="2" stopIfTrue="1" operator="notBetween">
      <formula>AI3+$AG$40</formula>
      <formula>AI3-$AG$40</formula>
    </cfRule>
  </conditionalFormatting>
  <conditionalFormatting sqref="AL3:AL33">
    <cfRule type="cellIs" dxfId="12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27</vt:i4>
      </vt:variant>
    </vt:vector>
  </HeadingPairs>
  <TitlesOfParts>
    <vt:vector size="73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Comparativo vs. Proveedor</vt:lpstr>
      <vt:lpstr>Balance Volumetrico</vt:lpstr>
      <vt:lpstr>Ajuste de Volumen</vt:lpstr>
      <vt:lpstr>Balance de Energía</vt:lpstr>
      <vt:lpstr>dias trabajados</vt:lpstr>
      <vt:lpstr>TOTAL</vt:lpstr>
      <vt:lpstr>QUINCENA 2</vt:lpstr>
      <vt:lpstr>QUINCENA 1 </vt:lpstr>
      <vt:lpstr>Facturacion Tarifas</vt:lpstr>
      <vt:lpstr>TABLASTARIFAS</vt:lpstr>
      <vt:lpstr>Cliente 20</vt:lpstr>
      <vt:lpstr>Cliente 21</vt:lpstr>
      <vt:lpstr>Cliente 22</vt:lpstr>
      <vt:lpstr>Cliente 23</vt:lpstr>
      <vt:lpstr>Cliente 24</vt:lpstr>
      <vt:lpstr>Cliente 25</vt:lpstr>
      <vt:lpstr>Cliente 26</vt:lpstr>
      <vt:lpstr>Cliente 27</vt:lpstr>
      <vt:lpstr>Cliente 28</vt:lpstr>
      <vt:lpstr>Cliente 29</vt:lpstr>
      <vt:lpstr>Cliente 30</vt:lpstr>
      <vt:lpstr>Cliente 31</vt:lpstr>
      <vt:lpstr>Cliente 32</vt:lpstr>
      <vt:lpstr>Cliente 33</vt:lpstr>
      <vt:lpstr>Cliente 34</vt:lpstr>
      <vt:lpstr>Cliente 35</vt:lpstr>
      <vt:lpstr>Comercializadora</vt:lpstr>
      <vt:lpstr>Espumas</vt:lpstr>
      <vt:lpstr>FENO</vt:lpstr>
      <vt:lpstr>IMPERQUIMIA</vt:lpstr>
      <vt:lpstr>MEXCOAT</vt:lpstr>
      <vt:lpstr>MOLIENDAS</vt:lpstr>
      <vt:lpstr>PREMEX</vt:lpstr>
      <vt:lpstr>'Ajuste de Volumen'!Print_Area</vt:lpstr>
      <vt:lpstr>'Balance de Energía'!Print_Area</vt:lpstr>
      <vt:lpstr>'Balance Volumetrico'!Print_Area</vt:lpstr>
      <vt:lpstr>'Comparativo vs. Proveedor'!Print_Area</vt:lpstr>
      <vt:lpstr>'dias trabajados'!Print_Area</vt:lpstr>
      <vt:lpstr>'QUINCENA 1 '!Print_Area</vt:lpstr>
      <vt:lpstr>'QUINCENA 2'!Print_Area</vt:lpstr>
      <vt:lpstr>TOTAL!Print_Area</vt:lpstr>
      <vt:lpstr>PROESA</vt:lpstr>
      <vt:lpstr>PRUP</vt:lpstr>
      <vt:lpstr>QUIMICA</vt:lpstr>
      <vt:lpstr>TECAMAC</vt:lpstr>
      <vt:lpstr>TEJIMAQ</vt:lpstr>
      <vt:lpstr>TEXSA</vt:lpstr>
      <vt:lpstr>Textiles</vt:lpstr>
      <vt:lpstr>TextilesROMATEX</vt:lpstr>
      <vt:lpstr>TOTIS</vt:lpstr>
      <vt:lpstr>Valchem</vt:lpstr>
      <vt:lpstr>VUVA</vt:lpstr>
      <vt:lpstr>ZINC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2009-10-21T18:54:47Z</cp:lastPrinted>
  <dcterms:created xsi:type="dcterms:W3CDTF">2006-01-17T19:06:07Z</dcterms:created>
  <dcterms:modified xsi:type="dcterms:W3CDTF">2013-07-08T20:47:47Z</dcterms:modified>
</cp:coreProperties>
</file>